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ФСГС" sheetId="8" r:id="rId1"/>
  </sheets>
  <definedNames>
    <definedName name="_xlnm.Print_Titles" localSheetId="0">ФСГС!$15:$15</definedName>
    <definedName name="_xlnm.Print_Area" localSheetId="0">ФСГС!$A$1:$AB$618</definedName>
  </definedNames>
  <calcPr calcId="152511"/>
</workbook>
</file>

<file path=xl/calcChain.xml><?xml version="1.0" encoding="utf-8"?>
<calcChain xmlns="http://schemas.openxmlformats.org/spreadsheetml/2006/main">
  <c r="T214" i="8" l="1"/>
  <c r="Z27" i="8" l="1"/>
  <c r="AA607" i="8" l="1"/>
  <c r="Z25" i="8"/>
  <c r="Z26" i="8"/>
  <c r="Z211" i="8" l="1"/>
  <c r="AA212" i="8"/>
  <c r="Z212" i="8"/>
  <c r="AA213" i="8"/>
  <c r="Z213" i="8"/>
  <c r="Z214" i="8"/>
  <c r="Z547" i="8" l="1"/>
  <c r="Z538" i="8"/>
  <c r="Z109" i="8"/>
  <c r="Z72" i="8"/>
  <c r="Z183" i="8" l="1"/>
  <c r="Z143" i="8"/>
  <c r="Z141" i="8"/>
  <c r="Z136" i="8"/>
  <c r="Z128" i="8"/>
  <c r="Z124" i="8"/>
  <c r="Z120" i="8"/>
  <c r="Z106" i="8"/>
  <c r="Z100" i="8"/>
  <c r="Z83" i="8"/>
  <c r="Z31" i="8"/>
  <c r="Z530" i="8" l="1"/>
  <c r="AA142" i="8" l="1"/>
  <c r="Z176" i="8" l="1"/>
  <c r="Z40" i="8"/>
  <c r="Z544" i="8"/>
  <c r="Z541" i="8"/>
  <c r="Z194" i="8" l="1"/>
  <c r="Z173" i="8"/>
  <c r="Z157" i="8"/>
  <c r="Z151" i="8"/>
  <c r="Z147" i="8"/>
  <c r="Z132" i="8"/>
  <c r="Z93" i="8"/>
  <c r="Z77" i="8"/>
  <c r="Z44" i="8"/>
  <c r="Z43" i="8"/>
  <c r="AA207" i="8" l="1"/>
  <c r="AA206" i="8" l="1"/>
  <c r="Z616" i="8" l="1"/>
  <c r="Z279" i="8"/>
  <c r="Z280" i="8"/>
  <c r="Z606" i="8" l="1"/>
  <c r="Z163" i="8"/>
  <c r="Z149" i="8"/>
  <c r="AA85" i="8"/>
  <c r="Z104" i="8"/>
  <c r="AA105" i="8"/>
  <c r="AA106" i="8"/>
  <c r="AA93" i="8"/>
  <c r="Z92" i="8"/>
  <c r="AA83" i="8"/>
  <c r="AA84" i="8"/>
  <c r="Z89" i="8"/>
  <c r="Z82" i="8" s="1"/>
  <c r="Z70" i="8"/>
  <c r="AA46" i="8" l="1"/>
  <c r="Z518" i="8" l="1"/>
  <c r="Z198" i="8" l="1"/>
  <c r="Z145" i="8"/>
  <c r="Z137" i="8"/>
  <c r="Z74" i="8"/>
  <c r="AA59" i="8" l="1"/>
  <c r="AA51" i="8" l="1"/>
  <c r="AA50" i="8"/>
  <c r="AA52" i="8"/>
  <c r="Z49" i="8"/>
  <c r="Z47" i="8"/>
  <c r="AA183" i="8" l="1"/>
  <c r="Z506" i="8" l="1"/>
  <c r="Z505" i="8"/>
  <c r="AA45" i="8" l="1"/>
  <c r="AA47" i="8"/>
  <c r="Z54" i="8"/>
  <c r="Z53" i="8"/>
  <c r="AA510" i="8" l="1"/>
  <c r="AA511" i="8"/>
  <c r="AA509" i="8"/>
  <c r="AA508" i="8"/>
  <c r="Z507" i="8"/>
  <c r="X507" i="8"/>
  <c r="W507" i="8"/>
  <c r="V507" i="8"/>
  <c r="U507" i="8"/>
  <c r="T507" i="8"/>
  <c r="Z466" i="8"/>
  <c r="AA475" i="8"/>
  <c r="AA507" i="8" l="1"/>
  <c r="Z32" i="8" l="1"/>
  <c r="AA58" i="8"/>
  <c r="AA57" i="8"/>
  <c r="AA48" i="8"/>
  <c r="AA49" i="8"/>
  <c r="Y473" i="8" l="1"/>
  <c r="Y466" i="8" s="1"/>
  <c r="Y336" i="8"/>
  <c r="AA43" i="8"/>
  <c r="Z593" i="8" l="1"/>
  <c r="AA130" i="8" l="1"/>
  <c r="Y214" i="8" l="1"/>
  <c r="Y213" i="8"/>
  <c r="Y212" i="8" l="1"/>
  <c r="Y157" i="8" l="1"/>
  <c r="Y541" i="8"/>
  <c r="Y163" i="8"/>
  <c r="Y612" i="8" l="1"/>
  <c r="Y616" i="8"/>
  <c r="Y538" i="8"/>
  <c r="Y198" i="8" l="1"/>
  <c r="Y196" i="8"/>
  <c r="Y194" i="8"/>
  <c r="Y192" i="8"/>
  <c r="Y173" i="8"/>
  <c r="Y143" i="8"/>
  <c r="Y136" i="8" l="1"/>
  <c r="AA137" i="8"/>
  <c r="Y137" i="8"/>
  <c r="Y128" i="8"/>
  <c r="Y132" i="8"/>
  <c r="Y124" i="8"/>
  <c r="Y99" i="8"/>
  <c r="Y98" i="8"/>
  <c r="Y100" i="8"/>
  <c r="Y77" i="8"/>
  <c r="Y74" i="8"/>
  <c r="Y70" i="8"/>
  <c r="Y182" i="8"/>
  <c r="Y178" i="8" s="1"/>
  <c r="Y44" i="8"/>
  <c r="Z156" i="8" l="1"/>
  <c r="AA172" i="8"/>
  <c r="AA165" i="8" l="1"/>
  <c r="AA158" i="8"/>
  <c r="Y547" i="8" l="1"/>
  <c r="Y544" i="8"/>
  <c r="Y239" i="8"/>
  <c r="Y240" i="8"/>
  <c r="Y145" i="8"/>
  <c r="Y120" i="8"/>
  <c r="Y116" i="8"/>
  <c r="Y41" i="8"/>
  <c r="Z180" i="8" l="1"/>
  <c r="Z178" i="8" s="1"/>
  <c r="AA606" i="8" l="1"/>
  <c r="U603" i="8"/>
  <c r="V603" i="8"/>
  <c r="W603" i="8"/>
  <c r="Y603" i="8"/>
  <c r="Z603" i="8"/>
  <c r="T603" i="8"/>
  <c r="AA597" i="8"/>
  <c r="U594" i="8"/>
  <c r="V594" i="8"/>
  <c r="Y594" i="8"/>
  <c r="Z594" i="8"/>
  <c r="T594" i="8"/>
  <c r="AA611" i="8"/>
  <c r="AA612" i="8"/>
  <c r="Y610" i="8"/>
  <c r="X610" i="8"/>
  <c r="Z140" i="8" l="1"/>
  <c r="AA140" i="8" s="1"/>
  <c r="Z139" i="8"/>
  <c r="AA149" i="8"/>
  <c r="Y280" i="8" l="1"/>
  <c r="Y147" i="8" l="1"/>
  <c r="Y382" i="8" l="1"/>
  <c r="T279" i="8" l="1"/>
  <c r="U279" i="8"/>
  <c r="AA55" i="8"/>
  <c r="AA41" i="8"/>
  <c r="Y40" i="8"/>
  <c r="X44" i="8"/>
  <c r="X40" i="8" s="1"/>
  <c r="W44" i="8"/>
  <c r="W40" i="8" s="1"/>
  <c r="V44" i="8"/>
  <c r="V40" i="8" s="1"/>
  <c r="U44" i="8"/>
  <c r="U40" i="8" s="1"/>
  <c r="T44" i="8"/>
  <c r="T42" i="8"/>
  <c r="AA42" i="8" s="1"/>
  <c r="AA44" i="8" l="1"/>
  <c r="T40" i="8"/>
  <c r="AA40" i="8" s="1"/>
  <c r="Y288" i="8"/>
  <c r="Y380" i="8"/>
  <c r="Y187" i="8" l="1"/>
  <c r="Y506" i="8" l="1"/>
  <c r="Y505" i="8"/>
  <c r="AA516" i="8" l="1"/>
  <c r="AA515" i="8"/>
  <c r="AA514" i="8"/>
  <c r="AA513" i="8"/>
  <c r="Z512" i="8"/>
  <c r="Y512" i="8"/>
  <c r="X512" i="8"/>
  <c r="W512" i="8"/>
  <c r="V512" i="8"/>
  <c r="U512" i="8"/>
  <c r="T512" i="8"/>
  <c r="AA512" i="8" l="1"/>
  <c r="Y479" i="8"/>
  <c r="AA617" i="8"/>
  <c r="U616" i="8"/>
  <c r="AA616" i="8" s="1"/>
  <c r="Y109" i="8" l="1"/>
  <c r="AA56" i="8"/>
  <c r="AA99" i="8" l="1"/>
  <c r="AA98" i="8"/>
  <c r="T26" i="8" l="1"/>
  <c r="U26" i="8"/>
  <c r="V26" i="8"/>
  <c r="W26" i="8"/>
  <c r="T25" i="8" l="1"/>
  <c r="AA615" i="8" l="1"/>
  <c r="Y156" i="8" l="1"/>
  <c r="U505" i="8" l="1"/>
  <c r="V505" i="8"/>
  <c r="W505" i="8"/>
  <c r="X505" i="8"/>
  <c r="T505" i="8"/>
  <c r="AA505" i="8" s="1"/>
  <c r="T506" i="8"/>
  <c r="U506" i="8"/>
  <c r="V506" i="8"/>
  <c r="W506" i="8"/>
  <c r="X506" i="8"/>
  <c r="AA521" i="8"/>
  <c r="AA520" i="8"/>
  <c r="X522" i="8"/>
  <c r="W522" i="8"/>
  <c r="V522" i="8"/>
  <c r="U522" i="8"/>
  <c r="T522" i="8"/>
  <c r="AA524" i="8"/>
  <c r="AA523" i="8"/>
  <c r="AA519" i="8"/>
  <c r="AA518" i="8"/>
  <c r="U517" i="8"/>
  <c r="V517" i="8"/>
  <c r="V504" i="8" s="1"/>
  <c r="W517" i="8"/>
  <c r="X517" i="8"/>
  <c r="Y517" i="8"/>
  <c r="Y504" i="8" s="1"/>
  <c r="Z517" i="8"/>
  <c r="Z504" i="8" s="1"/>
  <c r="T517" i="8"/>
  <c r="T504" i="8" l="1"/>
  <c r="W504" i="8"/>
  <c r="U504" i="8"/>
  <c r="AA517" i="8"/>
  <c r="X504" i="8"/>
  <c r="AA522" i="8"/>
  <c r="Z159" i="8"/>
  <c r="Y159" i="8"/>
  <c r="Y54" i="8"/>
  <c r="Y31" i="8" s="1"/>
  <c r="Y27" i="8" s="1"/>
  <c r="Y151" i="8"/>
  <c r="AA504" i="8" l="1"/>
  <c r="Z154" i="8"/>
  <c r="Y154" i="8"/>
  <c r="X159" i="8" l="1"/>
  <c r="AA171" i="8"/>
  <c r="Y32" i="8" l="1"/>
  <c r="Y72" i="8" l="1"/>
  <c r="X538" i="8" l="1"/>
  <c r="X240" i="8"/>
  <c r="X116" i="8"/>
  <c r="X472" i="8"/>
  <c r="X194" i="8" l="1"/>
  <c r="X136" i="8" l="1"/>
  <c r="X135" i="8" l="1"/>
  <c r="X151" i="8"/>
  <c r="X173" i="8"/>
  <c r="X176" i="8"/>
  <c r="X287" i="8" l="1"/>
  <c r="AA204" i="8" l="1"/>
  <c r="X187" i="8" l="1"/>
  <c r="X530" i="8"/>
  <c r="X379" i="8" l="1"/>
  <c r="X547" i="8" l="1"/>
  <c r="X544" i="8"/>
  <c r="X257" i="8"/>
  <c r="X256" i="8"/>
  <c r="X248" i="8"/>
  <c r="X198" i="8"/>
  <c r="X157" i="8"/>
  <c r="X154" i="8" s="1"/>
  <c r="X128" i="8"/>
  <c r="X120" i="8"/>
  <c r="X74" i="8"/>
  <c r="X77" i="8"/>
  <c r="X72" i="8"/>
  <c r="X70" i="8" l="1"/>
  <c r="X89" i="8"/>
  <c r="X88" i="8"/>
  <c r="X86" i="8"/>
  <c r="X132" i="8"/>
  <c r="X141" i="8"/>
  <c r="X182" i="8"/>
  <c r="X180" i="8"/>
  <c r="X178" i="8" s="1"/>
  <c r="X192" i="8"/>
  <c r="X242" i="8"/>
  <c r="X335" i="8"/>
  <c r="X54" i="8" l="1"/>
  <c r="Y279" i="8" l="1"/>
  <c r="AA160" i="8" l="1"/>
  <c r="U25" i="8" l="1"/>
  <c r="V25" i="8"/>
  <c r="W25" i="8"/>
  <c r="X124" i="8" l="1"/>
  <c r="X196" i="8"/>
  <c r="X145" i="8"/>
  <c r="X109" i="8"/>
  <c r="X143" i="8"/>
  <c r="AA530" i="8" l="1"/>
  <c r="AA608" i="8"/>
  <c r="X605" i="8" l="1"/>
  <c r="X603" i="8" s="1"/>
  <c r="X596" i="8"/>
  <c r="X594" i="8" s="1"/>
  <c r="X266" i="8"/>
  <c r="X265" i="8"/>
  <c r="X239" i="8"/>
  <c r="X483" i="8"/>
  <c r="X484" i="8"/>
  <c r="X146" i="8"/>
  <c r="AA185" i="8"/>
  <c r="X243" i="8" l="1"/>
  <c r="AA135" i="8" l="1"/>
  <c r="X134" i="8"/>
  <c r="Y134" i="8"/>
  <c r="Z134" i="8"/>
  <c r="W136" i="8"/>
  <c r="W134" i="8" s="1"/>
  <c r="V136" i="8"/>
  <c r="V134" i="8" s="1"/>
  <c r="U136" i="8"/>
  <c r="U134" i="8" s="1"/>
  <c r="T136" i="8"/>
  <c r="T134" i="8" s="1"/>
  <c r="AA136" i="8" l="1"/>
  <c r="AA134" i="8"/>
  <c r="X241" i="8" l="1"/>
  <c r="AA88" i="8" l="1"/>
  <c r="X82" i="8"/>
  <c r="Y82" i="8"/>
  <c r="W89" i="8"/>
  <c r="W82" i="8" s="1"/>
  <c r="V89" i="8"/>
  <c r="V82" i="8" s="1"/>
  <c r="U89" i="8"/>
  <c r="U82" i="8" s="1"/>
  <c r="AA82" i="8" s="1"/>
  <c r="T89" i="8"/>
  <c r="T82" i="8" s="1"/>
  <c r="AA87" i="8"/>
  <c r="AA86" i="8"/>
  <c r="AA89" i="8" l="1"/>
  <c r="X255" i="8" l="1"/>
  <c r="X32" i="8" l="1"/>
  <c r="X234" i="8" l="1"/>
  <c r="X280" i="8"/>
  <c r="X466" i="8"/>
  <c r="X281" i="8"/>
  <c r="Y281" i="8"/>
  <c r="Z281" i="8"/>
  <c r="X237" i="8" l="1"/>
  <c r="AA265" i="8"/>
  <c r="AA257" i="8"/>
  <c r="AA241" i="8"/>
  <c r="W249" i="8"/>
  <c r="Y249" i="8"/>
  <c r="Z249" i="8"/>
  <c r="AA249" i="8" l="1"/>
  <c r="U34" i="8"/>
  <c r="U29" i="8" s="1"/>
  <c r="V34" i="8"/>
  <c r="V29" i="8" s="1"/>
  <c r="W34" i="8"/>
  <c r="W29" i="8" s="1"/>
  <c r="X34" i="8"/>
  <c r="X29" i="8" s="1"/>
  <c r="Y34" i="8"/>
  <c r="Y29" i="8" s="1"/>
  <c r="Z34" i="8"/>
  <c r="Z29" i="8" s="1"/>
  <c r="T34" i="8"/>
  <c r="T29" i="8" s="1"/>
  <c r="W538" i="8" l="1"/>
  <c r="W116" i="8"/>
  <c r="W277" i="8" l="1"/>
  <c r="W547" i="8" l="1"/>
  <c r="W541" i="8"/>
  <c r="W198" i="8"/>
  <c r="W194" i="8"/>
  <c r="W151" i="8"/>
  <c r="W147" i="8"/>
  <c r="W143" i="8"/>
  <c r="W128" i="8"/>
  <c r="W120" i="8"/>
  <c r="W182" i="8"/>
  <c r="W213" i="8" l="1"/>
  <c r="W214" i="8"/>
  <c r="X191" i="8" l="1"/>
  <c r="Y191" i="8"/>
  <c r="Z191" i="8"/>
  <c r="AA614" i="8" l="1"/>
  <c r="W187" i="8" l="1"/>
  <c r="W212" i="8" l="1"/>
  <c r="V212" i="8"/>
  <c r="W173" i="8" l="1"/>
  <c r="W77" i="8"/>
  <c r="W97" i="8"/>
  <c r="W100" i="8"/>
  <c r="W72" i="8"/>
  <c r="W544" i="8"/>
  <c r="W196" i="8"/>
  <c r="W145" i="8"/>
  <c r="W124" i="8"/>
  <c r="W109" i="8"/>
  <c r="W242" i="8"/>
  <c r="W287" i="8" l="1"/>
  <c r="W192" i="8"/>
  <c r="W70" i="8"/>
  <c r="X31" i="8" l="1"/>
  <c r="X27" i="8" l="1"/>
  <c r="X25" i="8"/>
  <c r="Z555" i="8"/>
  <c r="Z556" i="8"/>
  <c r="Z557" i="8"/>
  <c r="Z560" i="8"/>
  <c r="Z563" i="8"/>
  <c r="Z566" i="8"/>
  <c r="Z554" i="8" l="1"/>
  <c r="AA161" i="8" l="1"/>
  <c r="AA162" i="8"/>
  <c r="X155" i="8"/>
  <c r="Y155" i="8"/>
  <c r="Z155" i="8"/>
  <c r="AA155" i="8" s="1"/>
  <c r="X156" i="8"/>
  <c r="Y28" i="8"/>
  <c r="Y25" i="8" s="1"/>
  <c r="W156" i="8"/>
  <c r="W155" i="8"/>
  <c r="W163" i="8"/>
  <c r="W154" i="8" s="1"/>
  <c r="AA170" i="8"/>
  <c r="AA169" i="8"/>
  <c r="AA168" i="8"/>
  <c r="AA167" i="8"/>
  <c r="AA166" i="8"/>
  <c r="V163" i="8"/>
  <c r="U163" i="8"/>
  <c r="T163" i="8"/>
  <c r="AA156" i="8" l="1"/>
  <c r="Z28" i="8"/>
  <c r="AA163" i="8"/>
  <c r="AA157" i="8"/>
  <c r="AA159" i="8"/>
  <c r="AA28" i="8" l="1"/>
  <c r="AA485" i="8"/>
  <c r="AA486" i="8"/>
  <c r="V484" i="8"/>
  <c r="U484" i="8"/>
  <c r="W483" i="8"/>
  <c r="W482" i="8" s="1"/>
  <c r="V483" i="8"/>
  <c r="U483" i="8"/>
  <c r="Z482" i="8"/>
  <c r="Y482" i="8"/>
  <c r="X482" i="8"/>
  <c r="V482" i="8"/>
  <c r="U482" i="8"/>
  <c r="AA484" i="8" l="1"/>
  <c r="AA482" i="8"/>
  <c r="AA483" i="8"/>
  <c r="AA604" i="8" l="1"/>
  <c r="AA605" i="8"/>
  <c r="AA603" i="8"/>
  <c r="W54" i="8" l="1"/>
  <c r="W31" i="8" l="1"/>
  <c r="AA54" i="8"/>
  <c r="W96" i="8"/>
  <c r="W180" i="8" l="1"/>
  <c r="W178" i="8" s="1"/>
  <c r="W132" i="8"/>
  <c r="W596" i="8"/>
  <c r="W594" i="8" s="1"/>
  <c r="W379" i="8"/>
  <c r="W74" i="8" l="1"/>
  <c r="W237" i="8" l="1"/>
  <c r="AA528" i="8" l="1"/>
  <c r="AA526" i="8"/>
  <c r="AA203" i="8"/>
  <c r="AA201" i="8"/>
  <c r="AA469" i="8" l="1"/>
  <c r="AA472" i="8"/>
  <c r="AA473" i="8"/>
  <c r="AA474" i="8"/>
  <c r="W466" i="8"/>
  <c r="AA373" i="8"/>
  <c r="AA375" i="8"/>
  <c r="AA379" i="8"/>
  <c r="AA380" i="8"/>
  <c r="AA381" i="8"/>
  <c r="AA382" i="8"/>
  <c r="X371" i="8"/>
  <c r="Y371" i="8"/>
  <c r="Z371" i="8"/>
  <c r="W371" i="8"/>
  <c r="AA330" i="8"/>
  <c r="AA332" i="8"/>
  <c r="AA335" i="8"/>
  <c r="AA336" i="8"/>
  <c r="AA337" i="8"/>
  <c r="X328" i="8"/>
  <c r="Y328" i="8"/>
  <c r="Z328" i="8"/>
  <c r="W328" i="8"/>
  <c r="AA290" i="8"/>
  <c r="AA291" i="8"/>
  <c r="AA292" i="8"/>
  <c r="AA289" i="8"/>
  <c r="AA283" i="8"/>
  <c r="AA287" i="8"/>
  <c r="AA288" i="8"/>
  <c r="W281" i="8"/>
  <c r="Y278" i="8" l="1"/>
  <c r="Z278" i="8"/>
  <c r="V286" i="8" l="1"/>
  <c r="U286" i="8"/>
  <c r="V285" i="8"/>
  <c r="U285" i="8"/>
  <c r="AA286" i="8" l="1"/>
  <c r="AA285" i="8"/>
  <c r="AA53" i="8"/>
  <c r="V181" i="8" l="1"/>
  <c r="V178" i="8" s="1"/>
  <c r="U181" i="8"/>
  <c r="U556" i="8" l="1"/>
  <c r="V471" i="8" l="1"/>
  <c r="V266" i="8"/>
  <c r="V250" i="8"/>
  <c r="V173" i="8"/>
  <c r="V132" i="8"/>
  <c r="V128" i="8"/>
  <c r="V120" i="8"/>
  <c r="V124" i="8"/>
  <c r="V70" i="8"/>
  <c r="V77" i="8"/>
  <c r="V151" i="8"/>
  <c r="AA184" i="8" l="1"/>
  <c r="W28" i="8" l="1"/>
  <c r="V187" i="8" l="1"/>
  <c r="U500" i="8" l="1"/>
  <c r="V500" i="8"/>
  <c r="U501" i="8"/>
  <c r="V501" i="8"/>
  <c r="V147" i="8" l="1"/>
  <c r="V141" i="8" l="1"/>
  <c r="V214" i="8"/>
  <c r="X277" i="8"/>
  <c r="Y277" i="8"/>
  <c r="V277" i="8"/>
  <c r="U537" i="8"/>
  <c r="V537" i="8"/>
  <c r="W537" i="8"/>
  <c r="W534" i="8" s="1"/>
  <c r="X537" i="8"/>
  <c r="X534" i="8" s="1"/>
  <c r="Y537" i="8"/>
  <c r="Y534" i="8" s="1"/>
  <c r="Z537" i="8"/>
  <c r="Z534" i="8" s="1"/>
  <c r="T537" i="8"/>
  <c r="AA549" i="8"/>
  <c r="AA546" i="8"/>
  <c r="AA543" i="8"/>
  <c r="AA540" i="8"/>
  <c r="Z592" i="8"/>
  <c r="X592" i="8"/>
  <c r="Y592" i="8"/>
  <c r="AA506" i="8"/>
  <c r="V499" i="8"/>
  <c r="U499" i="8"/>
  <c r="X496" i="8"/>
  <c r="Y496" i="8"/>
  <c r="X490" i="8"/>
  <c r="Y490" i="8"/>
  <c r="X493" i="8"/>
  <c r="Y493" i="8"/>
  <c r="X487" i="8"/>
  <c r="Y487" i="8"/>
  <c r="Y488" i="8"/>
  <c r="W279" i="8"/>
  <c r="X279" i="8"/>
  <c r="X210" i="8" s="1"/>
  <c r="W280" i="8"/>
  <c r="X479" i="8"/>
  <c r="X278" i="8" s="1"/>
  <c r="Y264" i="8"/>
  <c r="Y262" i="8" s="1"/>
  <c r="Z264" i="8"/>
  <c r="Z262" i="8" s="1"/>
  <c r="Y256" i="8"/>
  <c r="Y254" i="8" s="1"/>
  <c r="Z256" i="8"/>
  <c r="Z254" i="8" s="1"/>
  <c r="Y248" i="8"/>
  <c r="Y246" i="8" s="1"/>
  <c r="Z248" i="8"/>
  <c r="Z246" i="8" s="1"/>
  <c r="Z240" i="8"/>
  <c r="AA537" i="8" l="1"/>
  <c r="U192" i="8"/>
  <c r="AA192" i="8" s="1"/>
  <c r="U194" i="8"/>
  <c r="U196" i="8"/>
  <c r="AA196" i="8" s="1"/>
  <c r="U198" i="8"/>
  <c r="AA198" i="8" s="1"/>
  <c r="U190" i="8"/>
  <c r="AA199" i="8"/>
  <c r="AA197" i="8"/>
  <c r="AA195" i="8"/>
  <c r="AA193" i="8"/>
  <c r="W191" i="8"/>
  <c r="AA191" i="8" s="1"/>
  <c r="Z190" i="8"/>
  <c r="Y190" i="8"/>
  <c r="X190" i="8"/>
  <c r="W190" i="8"/>
  <c r="AA190" i="8" l="1"/>
  <c r="AA194" i="8"/>
  <c r="AA595" i="8"/>
  <c r="AA596" i="8"/>
  <c r="V470" i="8" l="1"/>
  <c r="V333" i="8"/>
  <c r="V334" i="8"/>
  <c r="AA334" i="8" s="1"/>
  <c r="V582" i="8"/>
  <c r="V584" i="8"/>
  <c r="V541" i="8"/>
  <c r="V547" i="8"/>
  <c r="V544" i="8"/>
  <c r="V143" i="8"/>
  <c r="V97" i="8"/>
  <c r="V100" i="8"/>
  <c r="V109" i="8"/>
  <c r="V108" i="8"/>
  <c r="V72" i="8"/>
  <c r="V74" i="8"/>
  <c r="V258" i="8"/>
  <c r="V242" i="8"/>
  <c r="V535" i="8" l="1"/>
  <c r="V280" i="8" l="1"/>
  <c r="V279" i="8"/>
  <c r="V466" i="8"/>
  <c r="V281" i="8"/>
  <c r="V328" i="8"/>
  <c r="V479" i="8" l="1"/>
  <c r="V278" i="8" s="1"/>
  <c r="V154" i="8" l="1"/>
  <c r="W264" i="8" l="1"/>
  <c r="W256" i="8"/>
  <c r="W248" i="8"/>
  <c r="W240" i="8"/>
  <c r="W558" i="8" l="1"/>
  <c r="X558" i="8"/>
  <c r="V488" i="8"/>
  <c r="V496" i="8"/>
  <c r="V493" i="8"/>
  <c r="V490" i="8"/>
  <c r="V487" i="8"/>
  <c r="V237" i="8" l="1"/>
  <c r="V251" i="8" l="1"/>
  <c r="V252" i="8"/>
  <c r="AA252" i="8" s="1"/>
  <c r="V243" i="8"/>
  <c r="V244" i="8"/>
  <c r="V259" i="8"/>
  <c r="V260" i="8"/>
  <c r="V267" i="8"/>
  <c r="V268" i="8"/>
  <c r="AA133" i="8"/>
  <c r="W92" i="8"/>
  <c r="X92" i="8"/>
  <c r="Y92" i="8"/>
  <c r="T92" i="8"/>
  <c r="V264" i="8"/>
  <c r="V256" i="8"/>
  <c r="V248" i="8"/>
  <c r="V240" i="8"/>
  <c r="V570" i="8" l="1"/>
  <c r="V565" i="8"/>
  <c r="V562" i="8"/>
  <c r="V559" i="8"/>
  <c r="V558" i="8"/>
  <c r="V561" i="8"/>
  <c r="V564" i="8"/>
  <c r="V567" i="8"/>
  <c r="AA107" i="8"/>
  <c r="V104" i="8"/>
  <c r="W104" i="8"/>
  <c r="X104" i="8"/>
  <c r="Y104" i="8"/>
  <c r="AA108" i="8"/>
  <c r="U109" i="8"/>
  <c r="U104" i="8" s="1"/>
  <c r="T109" i="8"/>
  <c r="AA96" i="8"/>
  <c r="V92" i="8"/>
  <c r="AA109" i="8" l="1"/>
  <c r="V79" i="8"/>
  <c r="T104" i="8"/>
  <c r="AA104" i="8" s="1"/>
  <c r="AA97" i="8"/>
  <c r="U124" i="8"/>
  <c r="U470" i="8" l="1"/>
  <c r="AA470" i="8" s="1"/>
  <c r="U376" i="8"/>
  <c r="AA376" i="8" s="1"/>
  <c r="U333" i="8"/>
  <c r="AA333" i="8" s="1"/>
  <c r="U182" i="8" l="1"/>
  <c r="AA182" i="8" s="1"/>
  <c r="U180" i="8"/>
  <c r="U178" i="8" s="1"/>
  <c r="AA178" i="8" s="1"/>
  <c r="AA39" i="8"/>
  <c r="AA187" i="8"/>
  <c r="AA174" i="8"/>
  <c r="U277" i="8" l="1"/>
  <c r="U214" i="8" l="1"/>
  <c r="U212" i="8"/>
  <c r="U143" i="8"/>
  <c r="U173" i="8"/>
  <c r="U471" i="8"/>
  <c r="U584" i="8"/>
  <c r="U547" i="8"/>
  <c r="U264" i="8"/>
  <c r="U266" i="8"/>
  <c r="U128" i="8"/>
  <c r="U77" i="8"/>
  <c r="U580" i="8"/>
  <c r="U541" i="8"/>
  <c r="U248" i="8"/>
  <c r="U247" i="8"/>
  <c r="U250" i="8"/>
  <c r="U120" i="8"/>
  <c r="U95" i="8"/>
  <c r="U92" i="8" s="1"/>
  <c r="AA92" i="8" s="1"/>
  <c r="U72" i="8"/>
  <c r="U466" i="8" l="1"/>
  <c r="AA471" i="8"/>
  <c r="U378" i="8"/>
  <c r="AA378" i="8" s="1"/>
  <c r="U377" i="8"/>
  <c r="AA377" i="8" s="1"/>
  <c r="U582" i="8"/>
  <c r="U544" i="8"/>
  <c r="U256" i="8"/>
  <c r="U258" i="8"/>
  <c r="U145" i="8"/>
  <c r="U74" i="8"/>
  <c r="U242" i="8"/>
  <c r="U240" i="8"/>
  <c r="AA240" i="8" s="1"/>
  <c r="U70" i="8"/>
  <c r="U132" i="8" l="1"/>
  <c r="U151" i="8" l="1"/>
  <c r="U479" i="8"/>
  <c r="U610" i="8"/>
  <c r="AA610" i="8" s="1"/>
  <c r="AA598" i="8" l="1"/>
  <c r="W592" i="8" l="1"/>
  <c r="X560" i="8" l="1"/>
  <c r="X563" i="8"/>
  <c r="X566" i="8"/>
  <c r="X555" i="8"/>
  <c r="X28" i="8"/>
  <c r="U154" i="8" l="1"/>
  <c r="AA94" i="8" l="1"/>
  <c r="AA95" i="8"/>
  <c r="AA100" i="8"/>
  <c r="V175" i="8" l="1"/>
  <c r="W175" i="8"/>
  <c r="X175" i="8"/>
  <c r="Y175" i="8"/>
  <c r="Z175" i="8"/>
  <c r="U175" i="8" l="1"/>
  <c r="U539" i="8"/>
  <c r="U142" i="8"/>
  <c r="U116" i="8" l="1"/>
  <c r="U538" i="8"/>
  <c r="U263" i="8"/>
  <c r="U255" i="8"/>
  <c r="U239" i="8"/>
  <c r="U141" i="8"/>
  <c r="AA551" i="8" l="1"/>
  <c r="AA550" i="8"/>
  <c r="U496" i="8" l="1"/>
  <c r="U493" i="8"/>
  <c r="U490" i="8"/>
  <c r="U487" i="8"/>
  <c r="U188" i="8"/>
  <c r="AA181" i="8" l="1"/>
  <c r="U271" i="8" l="1"/>
  <c r="U272" i="8"/>
  <c r="U234" i="8"/>
  <c r="U262" i="8"/>
  <c r="AA263" i="8"/>
  <c r="V262" i="8"/>
  <c r="W262" i="8"/>
  <c r="X262" i="8"/>
  <c r="V254" i="8"/>
  <c r="W254" i="8"/>
  <c r="X254" i="8"/>
  <c r="U254" i="8"/>
  <c r="AA255" i="8"/>
  <c r="V246" i="8"/>
  <c r="W246" i="8"/>
  <c r="X246" i="8"/>
  <c r="U246" i="8"/>
  <c r="T247" i="8"/>
  <c r="AA247" i="8" s="1"/>
  <c r="V238" i="8"/>
  <c r="W238" i="8"/>
  <c r="X238" i="8"/>
  <c r="Y238" i="8"/>
  <c r="Z238" i="8"/>
  <c r="AA239" i="8"/>
  <c r="AA242" i="8"/>
  <c r="AA179" i="8"/>
  <c r="AA180" i="8"/>
  <c r="U280" i="8"/>
  <c r="U371" i="8"/>
  <c r="U328" i="8"/>
  <c r="U238" i="8" l="1"/>
  <c r="U281" i="8"/>
  <c r="U278" i="8" s="1"/>
  <c r="W278" i="8"/>
  <c r="U176" i="8" l="1"/>
  <c r="U147" i="8" l="1"/>
  <c r="U236" i="8" l="1"/>
  <c r="U209" i="8" s="1"/>
  <c r="V236" i="8" l="1"/>
  <c r="W236" i="8"/>
  <c r="W209" i="8" s="1"/>
  <c r="X236" i="8"/>
  <c r="X209" i="8" s="1"/>
  <c r="Y236" i="8"/>
  <c r="Y209" i="8" s="1"/>
  <c r="Z236" i="8"/>
  <c r="V234" i="8"/>
  <c r="W234" i="8"/>
  <c r="W210" i="8" s="1"/>
  <c r="Y234" i="8"/>
  <c r="Y210" i="8" s="1"/>
  <c r="Z234" i="8"/>
  <c r="AA25" i="8"/>
  <c r="X535" i="8"/>
  <c r="X26" i="8" l="1"/>
  <c r="Y26" i="8"/>
  <c r="U237" i="8"/>
  <c r="AA237" i="8" s="1"/>
  <c r="AA261" i="8"/>
  <c r="AA260" i="8"/>
  <c r="AA259" i="8"/>
  <c r="AA253" i="8"/>
  <c r="AA245" i="8"/>
  <c r="AA268" i="8"/>
  <c r="AA269" i="8"/>
  <c r="AA267" i="8"/>
  <c r="AA574" i="8"/>
  <c r="AA594" i="8" l="1"/>
  <c r="AA559" i="8"/>
  <c r="AA177" i="8"/>
  <c r="AA153" i="8"/>
  <c r="AA131" i="8"/>
  <c r="AA129" i="8"/>
  <c r="AA127" i="8"/>
  <c r="AA125" i="8"/>
  <c r="AA123" i="8"/>
  <c r="AA121" i="8"/>
  <c r="AA119" i="8"/>
  <c r="AA117" i="8"/>
  <c r="AA186" i="8"/>
  <c r="AA61" i="8"/>
  <c r="Z115" i="8"/>
  <c r="Z37" i="8" s="1"/>
  <c r="Z114" i="8"/>
  <c r="AA114" i="8" s="1"/>
  <c r="Z113" i="8"/>
  <c r="Z112" i="8"/>
  <c r="Z80" i="8"/>
  <c r="Z36" i="8" s="1"/>
  <c r="Z79" i="8"/>
  <c r="Z69" i="8"/>
  <c r="Z68" i="8"/>
  <c r="Z30" i="8" s="1"/>
  <c r="Z62" i="8"/>
  <c r="AA250" i="8"/>
  <c r="AA266" i="8"/>
  <c r="AA258" i="8"/>
  <c r="AA496" i="8"/>
  <c r="AA490" i="8"/>
  <c r="AA487" i="8"/>
  <c r="AA553" i="8"/>
  <c r="AA552" i="8"/>
  <c r="AA548" i="8"/>
  <c r="AA545" i="8"/>
  <c r="AA542" i="8"/>
  <c r="AA539" i="8"/>
  <c r="Z536" i="8"/>
  <c r="Z532" i="8" s="1"/>
  <c r="Z535" i="8"/>
  <c r="AA498" i="8"/>
  <c r="AA497" i="8"/>
  <c r="AA495" i="8"/>
  <c r="AA494" i="8"/>
  <c r="AA493" i="8"/>
  <c r="AA492" i="8"/>
  <c r="AA491" i="8"/>
  <c r="AA489" i="8"/>
  <c r="AA488" i="8"/>
  <c r="AA481" i="8"/>
  <c r="AA480" i="8"/>
  <c r="Z210" i="8"/>
  <c r="Y216" i="8"/>
  <c r="Z217" i="8"/>
  <c r="Z218" i="8"/>
  <c r="AA228" i="8"/>
  <c r="AA230" i="8"/>
  <c r="AA251" i="8"/>
  <c r="AA244" i="8"/>
  <c r="AA243" i="8"/>
  <c r="Z233" i="8"/>
  <c r="Z232" i="8"/>
  <c r="AA271" i="8"/>
  <c r="AA275" i="8"/>
  <c r="AA274" i="8"/>
  <c r="Z270" i="8"/>
  <c r="AA575" i="8"/>
  <c r="AA572" i="8"/>
  <c r="AA573" i="8"/>
  <c r="AA570" i="8"/>
  <c r="AA565" i="8"/>
  <c r="AA562" i="8"/>
  <c r="AA568" i="8"/>
  <c r="Z533" i="8"/>
  <c r="U567" i="8"/>
  <c r="U564" i="8"/>
  <c r="U561" i="8"/>
  <c r="U558" i="8"/>
  <c r="Z35" i="8" l="1"/>
  <c r="AA69" i="8"/>
  <c r="Z216" i="8"/>
  <c r="Z209" i="8"/>
  <c r="U571" i="8"/>
  <c r="AA571" i="8" s="1"/>
  <c r="Z231" i="8"/>
  <c r="Z208" i="8" s="1"/>
  <c r="AA591" i="8"/>
  <c r="AA589" i="8"/>
  <c r="AA586" i="8"/>
  <c r="AA588" i="8"/>
  <c r="Z577" i="8"/>
  <c r="AA579" i="8"/>
  <c r="AA581" i="8"/>
  <c r="AA583" i="8"/>
  <c r="AA585" i="8"/>
  <c r="Z576" i="8"/>
  <c r="AA600" i="8"/>
  <c r="AA601" i="8"/>
  <c r="AA602" i="8"/>
  <c r="AA599" i="8"/>
  <c r="AA26" i="8" l="1"/>
  <c r="U555" i="8"/>
  <c r="Z531" i="8"/>
  <c r="AA264" i="8"/>
  <c r="AA256" i="8"/>
  <c r="AA248" i="8"/>
  <c r="Z16" i="8" l="1"/>
  <c r="X536" i="8"/>
  <c r="U535" i="8"/>
  <c r="W535" i="8"/>
  <c r="Y535" i="8"/>
  <c r="U536" i="8"/>
  <c r="V536" i="8"/>
  <c r="W536" i="8"/>
  <c r="Y536" i="8"/>
  <c r="T536" i="8"/>
  <c r="AA536" i="8" l="1"/>
  <c r="T77" i="8" l="1"/>
  <c r="AA77" i="8" s="1"/>
  <c r="U115" i="8" l="1"/>
  <c r="U37" i="8" s="1"/>
  <c r="AA189" i="8"/>
  <c r="AA188" i="8"/>
  <c r="T211" i="8" l="1"/>
  <c r="T212" i="8" l="1"/>
  <c r="T277" i="8" l="1"/>
  <c r="AA277" i="8" s="1"/>
  <c r="T132" i="8" l="1"/>
  <c r="AA132" i="8" s="1"/>
  <c r="T272" i="8"/>
  <c r="AA272" i="8" s="1"/>
  <c r="T273" i="8"/>
  <c r="AA273" i="8" s="1"/>
  <c r="T154" i="8"/>
  <c r="AA154" i="8" s="1"/>
  <c r="T151" i="8"/>
  <c r="AA151" i="8" s="1"/>
  <c r="T584" i="8"/>
  <c r="AA584" i="8" s="1"/>
  <c r="T547" i="8"/>
  <c r="AA547" i="8" s="1"/>
  <c r="T225" i="8"/>
  <c r="T147" i="8"/>
  <c r="AA147" i="8" s="1"/>
  <c r="T128" i="8"/>
  <c r="AA128" i="8" s="1"/>
  <c r="T143" i="8"/>
  <c r="AA143" i="8" s="1"/>
  <c r="T124" i="8"/>
  <c r="AA124" i="8" s="1"/>
  <c r="T120" i="8"/>
  <c r="AA120" i="8" s="1"/>
  <c r="T72" i="8"/>
  <c r="AA72" i="8" s="1"/>
  <c r="T544" i="8"/>
  <c r="AA544" i="8" s="1"/>
  <c r="T74" i="8"/>
  <c r="AA74" i="8" s="1"/>
  <c r="T578" i="8"/>
  <c r="AA578" i="8" s="1"/>
  <c r="T538" i="8"/>
  <c r="AA538" i="8" s="1"/>
  <c r="T141" i="8"/>
  <c r="AA141" i="8" s="1"/>
  <c r="T116" i="8"/>
  <c r="AA116" i="8" s="1"/>
  <c r="T280" i="8" l="1"/>
  <c r="AA280" i="8" s="1"/>
  <c r="U28" i="8" l="1"/>
  <c r="V28" i="8"/>
  <c r="T28" i="8"/>
  <c r="U218" i="8" l="1"/>
  <c r="V218" i="8"/>
  <c r="W218" i="8"/>
  <c r="X218" i="8"/>
  <c r="Y218" i="8"/>
  <c r="T218" i="8"/>
  <c r="AA218" i="8" s="1"/>
  <c r="V216" i="8"/>
  <c r="U32" i="8"/>
  <c r="V32" i="8"/>
  <c r="W32" i="8"/>
  <c r="T32" i="8"/>
  <c r="U31" i="8"/>
  <c r="U27" i="8" s="1"/>
  <c r="V31" i="8"/>
  <c r="V27" i="8" s="1"/>
  <c r="W27" i="8"/>
  <c r="T31" i="8"/>
  <c r="T27" i="8" s="1"/>
  <c r="AA27" i="8" s="1"/>
  <c r="AA31" i="8" l="1"/>
  <c r="AA216" i="8"/>
  <c r="Y115" i="8" l="1"/>
  <c r="Y37" i="8" s="1"/>
  <c r="T115" i="8"/>
  <c r="X115" i="8"/>
  <c r="X37" i="8" s="1"/>
  <c r="W115" i="8"/>
  <c r="W37" i="8" s="1"/>
  <c r="U592" i="8"/>
  <c r="V592" i="8"/>
  <c r="T592" i="8"/>
  <c r="AA592" i="8" l="1"/>
  <c r="T37" i="8"/>
  <c r="V115" i="8"/>
  <c r="V37" i="8" s="1"/>
  <c r="T262" i="8"/>
  <c r="T254" i="8"/>
  <c r="T246" i="8"/>
  <c r="T238" i="8"/>
  <c r="AA238" i="8" s="1"/>
  <c r="U112" i="8"/>
  <c r="AA37" i="8" l="1"/>
  <c r="AA262" i="8"/>
  <c r="AA115" i="8"/>
  <c r="AA246" i="8"/>
  <c r="AA254" i="8"/>
  <c r="AA226" i="8"/>
  <c r="AA224" i="8"/>
  <c r="AA222" i="8"/>
  <c r="AA220" i="8"/>
  <c r="T234" i="8"/>
  <c r="T142" i="8"/>
  <c r="T70" i="8"/>
  <c r="AA70" i="8" s="1"/>
  <c r="AA225" i="8"/>
  <c r="T580" i="8"/>
  <c r="AA580" i="8" s="1"/>
  <c r="T582" i="8"/>
  <c r="AA582" i="8" s="1"/>
  <c r="T541" i="8"/>
  <c r="AA541" i="8" s="1"/>
  <c r="T479" i="8"/>
  <c r="AA479" i="8" s="1"/>
  <c r="T145" i="8"/>
  <c r="AA145" i="8" s="1"/>
  <c r="T176" i="8"/>
  <c r="T221" i="8"/>
  <c r="AA221" i="8" s="1"/>
  <c r="Y593" i="8"/>
  <c r="X593" i="8"/>
  <c r="W593" i="8"/>
  <c r="V593" i="8"/>
  <c r="U593" i="8"/>
  <c r="T593" i="8"/>
  <c r="AA593" i="8"/>
  <c r="AA590" i="8"/>
  <c r="Y577" i="8"/>
  <c r="X577" i="8"/>
  <c r="W577" i="8"/>
  <c r="V577" i="8"/>
  <c r="V534" i="8" s="1"/>
  <c r="U577" i="8"/>
  <c r="U534" i="8" s="1"/>
  <c r="Y576" i="8"/>
  <c r="X576" i="8"/>
  <c r="W576" i="8"/>
  <c r="V576" i="8"/>
  <c r="U576" i="8"/>
  <c r="U531" i="8" s="1"/>
  <c r="AA569" i="8"/>
  <c r="T567" i="8"/>
  <c r="Y566" i="8"/>
  <c r="W566" i="8"/>
  <c r="V566" i="8"/>
  <c r="U566" i="8"/>
  <c r="T566" i="8"/>
  <c r="T564" i="8"/>
  <c r="Y563" i="8"/>
  <c r="W563" i="8"/>
  <c r="V563" i="8"/>
  <c r="U563" i="8"/>
  <c r="T563" i="8"/>
  <c r="T561" i="8"/>
  <c r="Y560" i="8"/>
  <c r="W560" i="8"/>
  <c r="V560" i="8"/>
  <c r="U560" i="8"/>
  <c r="T560" i="8"/>
  <c r="T558" i="8"/>
  <c r="Y557" i="8"/>
  <c r="X557" i="8"/>
  <c r="W557" i="8"/>
  <c r="V557" i="8"/>
  <c r="U557" i="8"/>
  <c r="T557" i="8"/>
  <c r="Y556" i="8"/>
  <c r="Y533" i="8" s="1"/>
  <c r="X556" i="8"/>
  <c r="X533" i="8" s="1"/>
  <c r="W556" i="8"/>
  <c r="W533" i="8" s="1"/>
  <c r="V556" i="8"/>
  <c r="V533" i="8" s="1"/>
  <c r="U533" i="8"/>
  <c r="T556" i="8"/>
  <c r="Y532" i="8"/>
  <c r="X532" i="8"/>
  <c r="W532" i="8"/>
  <c r="V532" i="8"/>
  <c r="U532" i="8"/>
  <c r="AA478" i="8"/>
  <c r="AA477" i="8"/>
  <c r="AA476" i="8"/>
  <c r="AA468" i="8"/>
  <c r="AA467" i="8"/>
  <c r="AA465" i="8"/>
  <c r="AA464" i="8"/>
  <c r="AA463" i="8"/>
  <c r="AA462" i="8"/>
  <c r="AA461" i="8"/>
  <c r="AA460" i="8"/>
  <c r="T459" i="8"/>
  <c r="AA459" i="8" s="1"/>
  <c r="AA458" i="8"/>
  <c r="AA457" i="8"/>
  <c r="AA456" i="8"/>
  <c r="AA455" i="8"/>
  <c r="AA454" i="8"/>
  <c r="T453" i="8"/>
  <c r="AA453" i="8" s="1"/>
  <c r="AA452" i="8"/>
  <c r="AA451" i="8"/>
  <c r="AA450" i="8"/>
  <c r="AA449" i="8"/>
  <c r="AA448" i="8"/>
  <c r="T447" i="8"/>
  <c r="AA447" i="8" s="1"/>
  <c r="AA446" i="8"/>
  <c r="AA445" i="8"/>
  <c r="AA444" i="8"/>
  <c r="AA443" i="8"/>
  <c r="AA442" i="8"/>
  <c r="AA441" i="8"/>
  <c r="T440" i="8"/>
  <c r="AA440" i="8" s="1"/>
  <c r="AA439" i="8"/>
  <c r="AA438" i="8"/>
  <c r="AA437" i="8"/>
  <c r="AA436" i="8"/>
  <c r="AA435" i="8"/>
  <c r="AA434" i="8"/>
  <c r="T433" i="8"/>
  <c r="AA433" i="8" s="1"/>
  <c r="AA432" i="8"/>
  <c r="AA431" i="8"/>
  <c r="AA430" i="8"/>
  <c r="AA429" i="8"/>
  <c r="AA428" i="8"/>
  <c r="AA427" i="8"/>
  <c r="T426" i="8"/>
  <c r="AA426" i="8" s="1"/>
  <c r="AA425" i="8"/>
  <c r="AA424" i="8"/>
  <c r="AA423" i="8"/>
  <c r="AA422" i="8"/>
  <c r="AA421" i="8"/>
  <c r="AA420" i="8"/>
  <c r="T419" i="8"/>
  <c r="AA419" i="8" s="1"/>
  <c r="AA418" i="8"/>
  <c r="AA417" i="8"/>
  <c r="AA416" i="8"/>
  <c r="AA415" i="8"/>
  <c r="AA414" i="8"/>
  <c r="AA413" i="8"/>
  <c r="T412" i="8"/>
  <c r="AA412" i="8" s="1"/>
  <c r="AA411" i="8"/>
  <c r="AA410" i="8"/>
  <c r="AA409" i="8"/>
  <c r="AA408" i="8"/>
  <c r="AA407" i="8"/>
  <c r="AA406" i="8"/>
  <c r="T405" i="8"/>
  <c r="AA405" i="8" s="1"/>
  <c r="AA404" i="8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AA392" i="8"/>
  <c r="T391" i="8"/>
  <c r="AA391" i="8" s="1"/>
  <c r="AA390" i="8"/>
  <c r="AA389" i="8"/>
  <c r="AA388" i="8"/>
  <c r="AA387" i="8"/>
  <c r="AA386" i="8"/>
  <c r="T385" i="8"/>
  <c r="AA385" i="8" s="1"/>
  <c r="AA384" i="8"/>
  <c r="AA383" i="8"/>
  <c r="T374" i="8"/>
  <c r="AA374" i="8" s="1"/>
  <c r="T372" i="8"/>
  <c r="AA372" i="8" s="1"/>
  <c r="AA370" i="8"/>
  <c r="AA369" i="8"/>
  <c r="AA368" i="8"/>
  <c r="AA367" i="8"/>
  <c r="T366" i="8"/>
  <c r="AA366" i="8" s="1"/>
  <c r="AA365" i="8"/>
  <c r="AA364" i="8"/>
  <c r="AA363" i="8"/>
  <c r="AA362" i="8"/>
  <c r="T361" i="8"/>
  <c r="AA361" i="8" s="1"/>
  <c r="AA360" i="8"/>
  <c r="AA359" i="8"/>
  <c r="AA358" i="8"/>
  <c r="AA357" i="8"/>
  <c r="T356" i="8"/>
  <c r="AA355" i="8"/>
  <c r="AA354" i="8"/>
  <c r="AA353" i="8"/>
  <c r="AA352" i="8"/>
  <c r="T351" i="8"/>
  <c r="AA351" i="8" s="1"/>
  <c r="AA350" i="8"/>
  <c r="AA349" i="8"/>
  <c r="AA348" i="8"/>
  <c r="AA347" i="8"/>
  <c r="T346" i="8"/>
  <c r="AA346" i="8" s="1"/>
  <c r="AA345" i="8"/>
  <c r="AA344" i="8"/>
  <c r="AA343" i="8"/>
  <c r="AA342" i="8"/>
  <c r="AA341" i="8"/>
  <c r="T340" i="8"/>
  <c r="AA340" i="8" s="1"/>
  <c r="AA339" i="8"/>
  <c r="AA338" i="8"/>
  <c r="T331" i="8"/>
  <c r="AA331" i="8" s="1"/>
  <c r="T329" i="8"/>
  <c r="AA329" i="8" s="1"/>
  <c r="AA327" i="8"/>
  <c r="AA326" i="8"/>
  <c r="AA325" i="8"/>
  <c r="AA324" i="8"/>
  <c r="AA323" i="8"/>
  <c r="T322" i="8"/>
  <c r="AA322" i="8" s="1"/>
  <c r="AA321" i="8"/>
  <c r="AA320" i="8"/>
  <c r="AA319" i="8"/>
  <c r="AA318" i="8"/>
  <c r="AA317" i="8"/>
  <c r="AA316" i="8"/>
  <c r="T315" i="8"/>
  <c r="AA315" i="8" s="1"/>
  <c r="AA314" i="8"/>
  <c r="AA313" i="8"/>
  <c r="AA312" i="8"/>
  <c r="AA311" i="8"/>
  <c r="AA310" i="8"/>
  <c r="T309" i="8"/>
  <c r="AA309" i="8" s="1"/>
  <c r="AA308" i="8"/>
  <c r="AA307" i="8"/>
  <c r="AA306" i="8"/>
  <c r="AA305" i="8"/>
  <c r="AA304" i="8"/>
  <c r="T303" i="8"/>
  <c r="AA302" i="8"/>
  <c r="AA301" i="8"/>
  <c r="AA300" i="8"/>
  <c r="AA299" i="8"/>
  <c r="T298" i="8"/>
  <c r="AA298" i="8" s="1"/>
  <c r="AA297" i="8"/>
  <c r="AD296" i="8"/>
  <c r="AA296" i="8"/>
  <c r="AD295" i="8"/>
  <c r="AA295" i="8"/>
  <c r="AD294" i="8"/>
  <c r="AA294" i="8"/>
  <c r="AD293" i="8"/>
  <c r="T293" i="8"/>
  <c r="AA293" i="8" s="1"/>
  <c r="T282" i="8"/>
  <c r="AA282" i="8" s="1"/>
  <c r="Y270" i="8"/>
  <c r="Y231" i="8" s="1"/>
  <c r="X270" i="8"/>
  <c r="X231" i="8" s="1"/>
  <c r="W270" i="8"/>
  <c r="W231" i="8" s="1"/>
  <c r="V270" i="8"/>
  <c r="V231" i="8" s="1"/>
  <c r="U270" i="8"/>
  <c r="V209" i="8"/>
  <c r="T236" i="8"/>
  <c r="T235" i="8"/>
  <c r="Y233" i="8"/>
  <c r="X233" i="8"/>
  <c r="W233" i="8"/>
  <c r="V233" i="8"/>
  <c r="U233" i="8"/>
  <c r="Y232" i="8"/>
  <c r="X232" i="8"/>
  <c r="W232" i="8"/>
  <c r="V232" i="8"/>
  <c r="U232" i="8"/>
  <c r="AA223" i="8"/>
  <c r="AA219" i="8"/>
  <c r="Y217" i="8"/>
  <c r="X217" i="8"/>
  <c r="W217" i="8"/>
  <c r="V217" i="8"/>
  <c r="U217" i="8"/>
  <c r="Y176" i="8"/>
  <c r="W176" i="8"/>
  <c r="V176" i="8"/>
  <c r="T173" i="8"/>
  <c r="AA173" i="8" s="1"/>
  <c r="Y140" i="8"/>
  <c r="X140" i="8"/>
  <c r="W140" i="8"/>
  <c r="V140" i="8"/>
  <c r="U140" i="8"/>
  <c r="Y139" i="8"/>
  <c r="X139" i="8"/>
  <c r="W139" i="8"/>
  <c r="V139" i="8"/>
  <c r="U139" i="8"/>
  <c r="Y114" i="8"/>
  <c r="X114" i="8"/>
  <c r="W114" i="8"/>
  <c r="V114" i="8"/>
  <c r="U114" i="8"/>
  <c r="T114" i="8"/>
  <c r="Y113" i="8"/>
  <c r="X113" i="8"/>
  <c r="W113" i="8"/>
  <c r="V113" i="8"/>
  <c r="U113" i="8"/>
  <c r="T113" i="8"/>
  <c r="Y112" i="8"/>
  <c r="X112" i="8"/>
  <c r="W112" i="8"/>
  <c r="V112" i="8"/>
  <c r="Y80" i="8"/>
  <c r="Y36" i="8" s="1"/>
  <c r="X80" i="8"/>
  <c r="X36" i="8" s="1"/>
  <c r="W80" i="8"/>
  <c r="W36" i="8" s="1"/>
  <c r="V80" i="8"/>
  <c r="V36" i="8" s="1"/>
  <c r="U80" i="8"/>
  <c r="U36" i="8" s="1"/>
  <c r="T80" i="8"/>
  <c r="T36" i="8" s="1"/>
  <c r="Y79" i="8"/>
  <c r="X79" i="8"/>
  <c r="W79" i="8"/>
  <c r="U79" i="8"/>
  <c r="AA76" i="8"/>
  <c r="Y69" i="8"/>
  <c r="Y35" i="8" s="1"/>
  <c r="X69" i="8"/>
  <c r="X35" i="8" s="1"/>
  <c r="W69" i="8"/>
  <c r="W35" i="8" s="1"/>
  <c r="V69" i="8"/>
  <c r="V35" i="8" s="1"/>
  <c r="U69" i="8"/>
  <c r="U35" i="8" s="1"/>
  <c r="T69" i="8"/>
  <c r="T35" i="8" s="1"/>
  <c r="Y68" i="8"/>
  <c r="X68" i="8"/>
  <c r="W68" i="8"/>
  <c r="V68" i="8"/>
  <c r="U68" i="8"/>
  <c r="AA65" i="8"/>
  <c r="AA64" i="8"/>
  <c r="AA63" i="8"/>
  <c r="Y62" i="8"/>
  <c r="X62" i="8"/>
  <c r="W62" i="8"/>
  <c r="V62" i="8"/>
  <c r="U62" i="8"/>
  <c r="AA32" i="8"/>
  <c r="T23" i="8"/>
  <c r="U23" i="8" s="1"/>
  <c r="V23" i="8" s="1"/>
  <c r="W23" i="8" s="1"/>
  <c r="X23" i="8" s="1"/>
  <c r="Y23" i="8" s="1"/>
  <c r="T22" i="8"/>
  <c r="U22" i="8" s="1"/>
  <c r="V22" i="8" s="1"/>
  <c r="T21" i="8"/>
  <c r="U21" i="8" s="1"/>
  <c r="V21" i="8" s="1"/>
  <c r="W21" i="8" s="1"/>
  <c r="X21" i="8" s="1"/>
  <c r="Y21" i="8" s="1"/>
  <c r="T20" i="8"/>
  <c r="U20" i="8" s="1"/>
  <c r="V20" i="8" s="1"/>
  <c r="W20" i="8" s="1"/>
  <c r="X20" i="8" s="1"/>
  <c r="Y20" i="8" s="1"/>
  <c r="T19" i="8"/>
  <c r="U19" i="8" s="1"/>
  <c r="V19" i="8" s="1"/>
  <c r="T18" i="8"/>
  <c r="U18" i="8" s="1"/>
  <c r="V18" i="8" s="1"/>
  <c r="W18" i="8" s="1"/>
  <c r="X18" i="8" s="1"/>
  <c r="Y18" i="8" s="1"/>
  <c r="T17" i="8"/>
  <c r="U17" i="8" s="1"/>
  <c r="Y30" i="8" l="1"/>
  <c r="X30" i="8"/>
  <c r="W208" i="8"/>
  <c r="V30" i="8"/>
  <c r="AA303" i="8"/>
  <c r="AA284" i="8"/>
  <c r="X208" i="8"/>
  <c r="Y208" i="8"/>
  <c r="W30" i="8"/>
  <c r="U30" i="8"/>
  <c r="T328" i="8"/>
  <c r="AA328" i="8" s="1"/>
  <c r="AA34" i="8"/>
  <c r="AA576" i="8"/>
  <c r="AA558" i="8"/>
  <c r="AA234" i="8"/>
  <c r="AA29" i="8"/>
  <c r="AA113" i="8"/>
  <c r="T209" i="8"/>
  <c r="AA209" i="8" s="1"/>
  <c r="AA236" i="8"/>
  <c r="AA561" i="8"/>
  <c r="AA176" i="8"/>
  <c r="AA564" i="8"/>
  <c r="U231" i="8"/>
  <c r="U208" i="8" s="1"/>
  <c r="AA567" i="8"/>
  <c r="AA279" i="8"/>
  <c r="T140" i="8"/>
  <c r="T535" i="8"/>
  <c r="AA535" i="8" s="1"/>
  <c r="T533" i="8"/>
  <c r="AA533" i="8" s="1"/>
  <c r="AA556" i="8"/>
  <c r="U210" i="8"/>
  <c r="T371" i="8"/>
  <c r="AA371" i="8" s="1"/>
  <c r="V210" i="8"/>
  <c r="T210" i="8"/>
  <c r="V208" i="8"/>
  <c r="T577" i="8"/>
  <c r="AA577" i="8" s="1"/>
  <c r="T554" i="8"/>
  <c r="X531" i="8"/>
  <c r="AA560" i="8"/>
  <c r="AA566" i="8"/>
  <c r="V554" i="8"/>
  <c r="Y554" i="8"/>
  <c r="AA557" i="8"/>
  <c r="AA563" i="8"/>
  <c r="X554" i="8"/>
  <c r="T576" i="8"/>
  <c r="W554" i="8"/>
  <c r="T79" i="8"/>
  <c r="AA79" i="8" s="1"/>
  <c r="T555" i="8"/>
  <c r="AA62" i="8"/>
  <c r="U554" i="8"/>
  <c r="T233" i="8"/>
  <c r="AA233" i="8" s="1"/>
  <c r="T139" i="8"/>
  <c r="AA139" i="8" s="1"/>
  <c r="AD297" i="8"/>
  <c r="AA356" i="8"/>
  <c r="T466" i="8"/>
  <c r="AA466" i="8" s="1"/>
  <c r="V555" i="8"/>
  <c r="V531" i="8" s="1"/>
  <c r="T217" i="8"/>
  <c r="AA217" i="8" s="1"/>
  <c r="T232" i="8"/>
  <c r="AA232" i="8" s="1"/>
  <c r="Y555" i="8"/>
  <c r="Y531" i="8" s="1"/>
  <c r="W555" i="8"/>
  <c r="W531" i="8" s="1"/>
  <c r="T112" i="8"/>
  <c r="AA112" i="8" s="1"/>
  <c r="T270" i="8"/>
  <c r="T68" i="8"/>
  <c r="AA68" i="8" s="1"/>
  <c r="W19" i="8"/>
  <c r="X19" i="8" s="1"/>
  <c r="Y19" i="8" s="1"/>
  <c r="V17" i="8"/>
  <c r="W17" i="8" s="1"/>
  <c r="X17" i="8" s="1"/>
  <c r="Y17" i="8" s="1"/>
  <c r="W22" i="8"/>
  <c r="X22" i="8" s="1"/>
  <c r="Y22" i="8" s="1"/>
  <c r="AA18" i="8"/>
  <c r="AA21" i="8"/>
  <c r="AA20" i="8"/>
  <c r="AA23" i="8"/>
  <c r="Y211" i="8" l="1"/>
  <c r="X211" i="8"/>
  <c r="W211" i="8"/>
  <c r="T281" i="8"/>
  <c r="V211" i="8"/>
  <c r="AA211" i="8"/>
  <c r="V16" i="8"/>
  <c r="U211" i="8"/>
  <c r="AA210" i="8"/>
  <c r="U16" i="8"/>
  <c r="X16" i="8"/>
  <c r="Y16" i="8"/>
  <c r="W16" i="8"/>
  <c r="AA555" i="8"/>
  <c r="T231" i="8"/>
  <c r="AA231" i="8" s="1"/>
  <c r="AA270" i="8"/>
  <c r="T30" i="8"/>
  <c r="AA30" i="8" s="1"/>
  <c r="T534" i="8"/>
  <c r="AA534" i="8" s="1"/>
  <c r="AA554" i="8"/>
  <c r="T531" i="8"/>
  <c r="AA531" i="8" s="1"/>
  <c r="T532" i="8"/>
  <c r="AA532" i="8" s="1"/>
  <c r="AA19" i="8"/>
  <c r="AA22" i="8"/>
  <c r="AA17" i="8"/>
  <c r="AA281" i="8" l="1"/>
  <c r="T278" i="8"/>
  <c r="T208" i="8" s="1"/>
  <c r="AA208" i="8" s="1"/>
  <c r="AA278" i="8" l="1"/>
  <c r="T16" i="8" l="1"/>
  <c r="AA16" i="8" s="1"/>
</calcChain>
</file>

<file path=xl/sharedStrings.xml><?xml version="1.0" encoding="utf-8"?>
<sst xmlns="http://schemas.openxmlformats.org/spreadsheetml/2006/main" count="6285" uniqueCount="388">
  <si>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</si>
  <si>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</si>
  <si>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</si>
  <si>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</si>
  <si>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</si>
  <si>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</si>
  <si>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</si>
  <si>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</si>
  <si>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</si>
  <si>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</si>
  <si>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</si>
  <si>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</si>
  <si>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</si>
  <si>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</si>
  <si>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</si>
  <si>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</si>
  <si>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</si>
  <si>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</si>
  <si>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</si>
  <si>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</si>
  <si>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</si>
  <si>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</si>
  <si>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</si>
  <si>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</si>
  <si>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</si>
  <si>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</si>
  <si>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</si>
  <si>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</si>
  <si>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</si>
  <si>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</si>
  <si>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</si>
  <si>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</si>
  <si>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</si>
  <si>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</si>
  <si>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</si>
  <si>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</si>
  <si>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</si>
  <si>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</si>
  <si>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</si>
  <si>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</si>
  <si>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</si>
  <si>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</si>
  <si>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</si>
  <si>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</si>
  <si>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</si>
  <si>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</si>
  <si>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</si>
  <si>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</si>
  <si>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</si>
  <si>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</si>
  <si>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</si>
  <si>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</si>
  <si>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</si>
  <si>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</si>
  <si>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</si>
  <si>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</si>
  <si>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</si>
  <si>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</si>
  <si>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</si>
  <si>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</si>
  <si>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</si>
  <si>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</si>
  <si>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</si>
  <si>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</si>
  <si>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</si>
  <si>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</si>
  <si>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</si>
  <si>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</si>
  <si>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</si>
  <si>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</si>
  <si>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</si>
  <si>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</si>
  <si>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</si>
  <si>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</si>
  <si>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</si>
  <si>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</si>
  <si>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</si>
  <si>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</si>
  <si>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</si>
  <si>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</si>
  <si>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</si>
  <si>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</si>
  <si>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</si>
  <si>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</si>
  <si>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</si>
  <si>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</si>
  <si>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</si>
  <si>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</si>
  <si>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</si>
  <si>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</si>
  <si>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</si>
  <si>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</si>
  <si>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</si>
  <si>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</si>
  <si>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</si>
  <si>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</si>
  <si>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</si>
  <si>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</si>
  <si>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</si>
  <si>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</si>
  <si>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</si>
  <si>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</si>
  <si>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</si>
  <si>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</si>
  <si>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</si>
  <si>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</si>
  <si>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</si>
  <si>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</si>
  <si>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</si>
  <si>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</si>
  <si>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</si>
  <si>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</si>
  <si>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</si>
  <si>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</si>
  <si>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</si>
  <si>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</si>
  <si>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</si>
  <si>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</si>
  <si>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</si>
  <si>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</si>
  <si>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</si>
  <si>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</si>
  <si>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</si>
  <si>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</si>
  <si>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</si>
  <si>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</si>
  <si>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</si>
  <si>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</si>
  <si>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</si>
  <si>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</si>
  <si>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</si>
  <si>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</si>
  <si>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</si>
  <si>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</si>
  <si>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</si>
  <si>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</si>
  <si>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</si>
  <si>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</si>
  <si>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</si>
  <si>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</si>
  <si>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</si>
  <si>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</si>
  <si>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</si>
  <si>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</si>
  <si>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</si>
  <si>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</si>
  <si>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</si>
  <si>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</si>
  <si>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</si>
  <si>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</si>
  <si>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</si>
  <si>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</si>
  <si>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</si>
  <si>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</si>
  <si>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</si>
  <si>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</si>
  <si>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</si>
  <si>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</si>
  <si>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</si>
  <si>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</si>
  <si>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</si>
  <si>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</si>
  <si>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</si>
  <si>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</si>
  <si>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</si>
  <si>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</si>
  <si>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</si>
  <si>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</si>
  <si>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</si>
  <si>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</si>
  <si>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</si>
  <si>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</si>
  <si>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</si>
  <si>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</si>
  <si>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</si>
  <si>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</si>
  <si>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</si>
  <si>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</si>
  <si>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</si>
  <si>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</si>
  <si>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</si>
  <si>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</si>
  <si>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</si>
  <si>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</si>
  <si>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</si>
  <si>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</si>
  <si>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</si>
  <si>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</si>
  <si>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</si>
  <si>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</si>
  <si>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</si>
  <si>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</si>
  <si>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</si>
  <si>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</si>
  <si>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</si>
  <si>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</si>
  <si>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</si>
  <si>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</si>
  <si>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</si>
  <si>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</si>
  <si>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</si>
  <si>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</si>
  <si>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</si>
  <si>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</si>
  <si>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</si>
  <si>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</si>
  <si>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</si>
  <si>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</si>
  <si>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</si>
  <si>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</si>
  <si>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</si>
  <si>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</si>
  <si>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</si>
  <si>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</si>
  <si>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</si>
  <si>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</si>
  <si>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</si>
  <si>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</si>
  <si>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</si>
  <si>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</si>
  <si>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</si>
  <si>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</si>
  <si>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</si>
  <si>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t xml:space="preserve"> тыс. руб.</t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</si>
  <si>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</si>
  <si>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</si>
  <si>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</si>
  <si>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</si>
  <si>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</si>
  <si>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</si>
  <si>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</si>
  <si>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</si>
  <si>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</si>
  <si>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</si>
  <si>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</si>
  <si>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</si>
  <si>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</si>
  <si>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</si>
  <si>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</si>
  <si>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</si>
  <si>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</si>
  <si>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</si>
  <si>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</si>
  <si>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</si>
  <si>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</si>
  <si>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</si>
  <si>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</si>
  <si>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</si>
  <si>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</si>
  <si>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</si>
  <si>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</si>
  <si>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</si>
  <si>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</si>
  <si>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</si>
  <si>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</si>
  <si>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</si>
  <si>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</si>
  <si>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</si>
  <si>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</si>
  <si>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</si>
  <si>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</si>
  <si>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</si>
  <si>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</si>
  <si>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</si>
  <si>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</si>
  <si>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</si>
  <si>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</si>
  <si>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</si>
  <si>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</si>
  <si>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</si>
  <si>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</si>
  <si>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</si>
  <si>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</si>
  <si>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</si>
  <si>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</si>
  <si>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</si>
  <si>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</si>
  <si>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</si>
  <si>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</si>
  <si>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</si>
  <si>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</si>
  <si>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</si>
  <si>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</si>
  <si>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</si>
  <si>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</si>
  <si>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</si>
  <si>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</si>
  <si>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</si>
  <si>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</si>
  <si>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</si>
  <si>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</si>
  <si>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</si>
  <si>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</si>
  <si>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</si>
  <si>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</si>
  <si>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</si>
  <si>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</si>
  <si>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</si>
  <si>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</si>
  <si>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</si>
  <si>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</si>
  <si>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</si>
  <si>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</si>
  <si>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</si>
  <si>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</si>
  <si>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</si>
  <si>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</si>
  <si>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</si>
  <si>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</si>
  <si>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</si>
  <si>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</si>
  <si>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</si>
  <si>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</si>
  <si>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</si>
  <si>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</si>
  <si>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</si>
  <si>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</si>
  <si>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</si>
  <si>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</si>
  <si>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</si>
  <si>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</si>
  <si>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</si>
  <si>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</si>
  <si>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</si>
  <si>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</si>
  <si>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</si>
  <si>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</si>
  <si>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</si>
  <si>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</si>
  <si>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r>
      <t xml:space="preserve">Мероприятие 3.02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</si>
  <si>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r>
      <t xml:space="preserve">Показатель 1
</t>
    </r>
    <r>
      <rPr>
        <sz val="12"/>
        <rFont val="Times New Roman"/>
        <family val="1"/>
        <charset val="204"/>
      </rPr>
      <t>«Общая площадь цветников, подлежащих содержанию»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</si>
  <si>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Пролетарского района» </t>
    </r>
  </si>
  <si>
    <r>
      <t xml:space="preserve">Показатель 4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</si>
  <si>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«Общая площадь содержания парков и скверов» </t>
    </r>
  </si>
  <si>
    <r>
      <t xml:space="preserve">Мероприятие 3.03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</si>
  <si>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4.03
</t>
    </r>
    <r>
      <rPr>
        <sz val="12"/>
        <rFont val="Times New Roman"/>
        <family val="1"/>
        <charset val="204"/>
      </rPr>
      <t>«Новое кладбище (в т.ч. ПИР)»</t>
    </r>
  </si>
  <si>
    <r>
      <rPr>
        <b/>
        <sz val="12"/>
        <rFont val="Times New Roman"/>
        <family val="1"/>
        <charset val="204"/>
      </rPr>
      <t xml:space="preserve">Показатель 2      </t>
    </r>
    <r>
      <rPr>
        <sz val="12"/>
        <rFont val="Times New Roman"/>
        <family val="1"/>
        <charset val="204"/>
      </rPr>
      <t xml:space="preserve">                                  
«Количество обустроенных площадок для сбора твердых коммунальных отходов»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</si>
  <si>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площадок» </t>
    </r>
  </si>
  <si>
    <r>
      <rPr>
        <b/>
        <sz val="12"/>
        <rFont val="Times New Roman"/>
        <family val="1"/>
        <charset val="204"/>
      </rPr>
      <t>Мероприятие 1.18</t>
    </r>
    <r>
      <rPr>
        <sz val="12"/>
        <rFont val="Times New Roman"/>
        <family val="1"/>
        <charset val="204"/>
      </rPr>
      <t xml:space="preserve">
«Обустройство площадок для выгула домашних животных»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</si>
  <si>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</si>
  <si>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</si>
  <si>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</si>
  <si>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3  </t>
    </r>
    <r>
      <rPr>
        <sz val="12"/>
        <rFont val="Times New Roman"/>
        <family val="1"/>
        <charset val="204"/>
      </rPr>
      <t xml:space="preserve">    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</si>
  <si>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</si>
  <si>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Московского района» </t>
    </r>
  </si>
  <si>
    <r>
      <t xml:space="preserve">Показатель 6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</si>
  <si>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</si>
  <si>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</si>
  <si>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</si>
  <si>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</si>
  <si>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задания)»</t>
    </r>
  </si>
  <si>
    <r>
      <t xml:space="preserve">Показатель 12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</si>
  <si>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содержания сквера на ул. Можайского» 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</si>
  <si>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</si>
  <si>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</si>
  <si>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                         
«Количество разработанных комплектов проектной и сметной документации»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</si>
  <si>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похоронных процессий»</t>
    </r>
  </si>
  <si>
    <r>
      <t xml:space="preserve">Мероприятие 4.04
</t>
    </r>
    <r>
      <rPr>
        <sz val="12"/>
        <rFont val="Times New Roman"/>
        <family val="1"/>
        <charset val="204"/>
      </rPr>
      <t>«Организация и проведение похоронных процессий с участием представителей органов власти»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</si>
  <si>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</si>
  <si>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</si>
  <si>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обслуживаемых детских площадок на территории города Твери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</si>
  <si>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 xml:space="preserve">Показатель 3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комплектов проектной и сметной документации»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</si>
  <si>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</si>
  <si>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</si>
  <si>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</si>
  <si>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</si>
  <si>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финансов)»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</si>
  <si>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финансов)»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</si>
  <si>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территорий общего пользования, благоустроенных за счет субсидии из областного бюджета на обустройство мест массового отдыха населения (городских парков)»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</si>
  <si>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территорий общего пользования, благоустроенных за счет субсидии из областного бюджета на обустройство мест массового отдыха населения (городских парков)»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</si>
  <si>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</si>
  <si>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</si>
  <si>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изготовленных комплектов проектно-сметной документации по благоустройству общественных территорий на территории города» </t>
    </r>
  </si>
  <si>
    <t>Еди-ница измере-ния</t>
  </si>
  <si>
    <t>А</t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</si>
  <si>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обустроенных скейт-парков в сквере на ул. Можайского в городе Твери»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</si>
  <si>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мероприятий по благоустройству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</si>
  <si>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</si>
  <si>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«Степень выполнения мероприятия по благоустройству воинского братского захоронения Волынское в Заволжском районе города Твери»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</si>
  <si>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</si>
  <si>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«Степень выполнения мероприятия по благоустройству воинского братского захоронения в поселке Мигалово на территории Пролетарского района в городе Твери»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</si>
  <si>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«Степень выполнения мероприятия по ремонту мемориала «Звезда», расположенного на территории воинского братского захоронения в поселке Мигалово города Твери»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</si>
  <si>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</si>
  <si>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«Степень выполнения мероприятия по благоустройству памятного знака «Рубеж»</t>
    </r>
  </si>
  <si>
    <r>
      <rPr>
        <b/>
        <sz val="12"/>
        <rFont val="Times New Roman"/>
        <family val="1"/>
        <charset val="204"/>
      </rPr>
      <t>Мероприятие 1.19</t>
    </r>
    <r>
      <rPr>
        <sz val="12"/>
        <rFont val="Times New Roman"/>
        <family val="1"/>
        <charset val="204"/>
      </rPr>
      <t xml:space="preserve">
«Подключение туалетных модулей к инженерным сетям»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</si>
  <si>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подключенных туалетных модулей»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</si>
  <si>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общественных территорий от общей площади общественных территорий» </t>
    </r>
  </si>
  <si>
    <t>Приложение  1
к постановлению Администрации города Твери
от «26»  декабря 2024 № 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</si>
</sst>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164" fontId="1" fillId="4" borderId="0" xfId="0" applyNumberFormat="1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49" fontId="1" fillId="4" borderId="0" xfId="0" applyNumberFormat="1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1"/>
  <sheetViews>
    <sheetView tabSelected="1" view="pageBreakPreview" zoomScale="90" zoomScaleNormal="90" zoomScaleSheetLayoutView="90" zoomScalePageLayoutView="62" workbookViewId="0">
      <selection sqref="A1:AB1"/>
    </sheetView>
  </sheetViews>
  <sheetFormatPr defaultColWidth="8.5703125" defaultRowHeight="15.75" x14ac:dyDescent="0.25"/>
  <cols>
    <col min="1" max="17" width="2.7109375" style="8" customWidth="1"/>
    <col min="18" max="18" width="78.5703125" style="7" customWidth="1"/>
    <col min="19" max="19" width="7.42578125" style="7" customWidth="1"/>
    <col min="20" max="20" width="9.85546875" style="7" customWidth="1"/>
    <col min="21" max="21" width="10.140625" style="7" customWidth="1"/>
    <col min="22" max="22" width="10.140625" style="8" customWidth="1"/>
    <col min="23" max="26" width="10.140625" style="7" customWidth="1"/>
    <col min="27" max="27" width="11.5703125" style="8" customWidth="1"/>
    <col min="28" max="28" width="6.42578125" style="7" customWidth="1"/>
    <col min="29" max="29" width="12.85546875" style="90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76" t="s">
        <v>387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89"/>
      <c r="AD1" s="89"/>
      <c r="AE1" s="89"/>
    </row>
    <row r="2" spans="1:35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89"/>
      <c r="AD2" s="89"/>
      <c r="AE2" s="89"/>
    </row>
    <row r="3" spans="1:35" x14ac:dyDescent="0.2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89"/>
      <c r="AD3" s="89"/>
      <c r="AE3" s="89"/>
    </row>
    <row r="4" spans="1:35" ht="13.9" customHeight="1" x14ac:dyDescent="0.25">
      <c r="A4" s="176" t="s">
        <v>278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89"/>
      <c r="AD4" s="89"/>
      <c r="AE4" s="89"/>
    </row>
    <row r="5" spans="1:35" x14ac:dyDescent="0.25">
      <c r="A5" s="176" t="s">
        <v>26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9"/>
    </row>
    <row r="6" spans="1:35" x14ac:dyDescent="0.25">
      <c r="A6" s="176" t="s">
        <v>46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9"/>
    </row>
    <row r="7" spans="1:35" x14ac:dyDescent="0.25">
      <c r="A7" s="176" t="s">
        <v>250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</row>
    <row r="8" spans="1:35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</row>
    <row r="9" spans="1:35" ht="18.75" x14ac:dyDescent="0.25">
      <c r="A9" s="172" t="s">
        <v>12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9"/>
      <c r="AD9" s="10"/>
    </row>
    <row r="10" spans="1:35" ht="18.75" x14ac:dyDescent="0.25">
      <c r="A10" s="172" t="s">
        <v>249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</row>
    <row r="11" spans="1:35" x14ac:dyDescent="0.25">
      <c r="A11" s="173" t="s">
        <v>55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</row>
    <row r="12" spans="1:35" x14ac:dyDescent="0.25">
      <c r="V12" s="11"/>
    </row>
    <row r="13" spans="1:35" s="84" customFormat="1" ht="24.75" customHeight="1" x14ac:dyDescent="0.25">
      <c r="A13" s="174" t="s">
        <v>16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5" t="s">
        <v>13</v>
      </c>
      <c r="S13" s="175" t="s">
        <v>373</v>
      </c>
      <c r="T13" s="175" t="s">
        <v>14</v>
      </c>
      <c r="U13" s="175"/>
      <c r="V13" s="175"/>
      <c r="W13" s="175"/>
      <c r="X13" s="175"/>
      <c r="Y13" s="175"/>
      <c r="Z13" s="175"/>
      <c r="AA13" s="174" t="s">
        <v>10</v>
      </c>
      <c r="AB13" s="174"/>
      <c r="AC13" s="9"/>
      <c r="AD13" s="9"/>
      <c r="AE13" s="9"/>
      <c r="AF13" s="9"/>
      <c r="AG13" s="9"/>
      <c r="AH13" s="9"/>
    </row>
    <row r="14" spans="1:35" s="84" customFormat="1" ht="49.5" customHeight="1" x14ac:dyDescent="0.25">
      <c r="A14" s="174" t="s">
        <v>29</v>
      </c>
      <c r="B14" s="174"/>
      <c r="C14" s="174"/>
      <c r="D14" s="174" t="s">
        <v>27</v>
      </c>
      <c r="E14" s="174"/>
      <c r="F14" s="174" t="s">
        <v>28</v>
      </c>
      <c r="G14" s="174"/>
      <c r="H14" s="174" t="s">
        <v>17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5"/>
      <c r="S14" s="175"/>
      <c r="T14" s="151">
        <v>2018</v>
      </c>
      <c r="U14" s="151">
        <v>2019</v>
      </c>
      <c r="V14" s="151">
        <v>2020</v>
      </c>
      <c r="W14" s="151">
        <v>2021</v>
      </c>
      <c r="X14" s="151">
        <v>2022</v>
      </c>
      <c r="Y14" s="151">
        <v>2023</v>
      </c>
      <c r="Z14" s="151">
        <v>2024</v>
      </c>
      <c r="AA14" s="136" t="s">
        <v>11</v>
      </c>
      <c r="AB14" s="136" t="s">
        <v>30</v>
      </c>
      <c r="AC14" s="12"/>
      <c r="AD14" s="13"/>
      <c r="AE14" s="13"/>
      <c r="AF14" s="14"/>
      <c r="AG14" s="14"/>
      <c r="AH14" s="14"/>
    </row>
    <row r="15" spans="1:35" s="84" customFormat="1" ht="15.75" customHeight="1" x14ac:dyDescent="0.25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15">
        <v>12</v>
      </c>
      <c r="M15" s="15">
        <v>13</v>
      </c>
      <c r="N15" s="15">
        <v>14</v>
      </c>
      <c r="O15" s="15">
        <v>15</v>
      </c>
      <c r="P15" s="15">
        <v>16</v>
      </c>
      <c r="Q15" s="15">
        <v>17</v>
      </c>
      <c r="R15" s="15">
        <v>18</v>
      </c>
      <c r="S15" s="15">
        <v>19</v>
      </c>
      <c r="T15" s="15">
        <v>20</v>
      </c>
      <c r="U15" s="15">
        <v>21</v>
      </c>
      <c r="V15" s="15">
        <v>22</v>
      </c>
      <c r="W15" s="15">
        <v>23</v>
      </c>
      <c r="X15" s="15">
        <v>24</v>
      </c>
      <c r="Y15" s="15">
        <v>25</v>
      </c>
      <c r="Z15" s="15">
        <v>26</v>
      </c>
      <c r="AA15" s="15">
        <v>27</v>
      </c>
      <c r="AB15" s="15">
        <v>28</v>
      </c>
      <c r="AC15" s="16"/>
      <c r="AD15" s="17"/>
      <c r="AE15" s="18"/>
      <c r="AF15" s="14"/>
      <c r="AG15" s="14"/>
      <c r="AH15" s="14"/>
    </row>
    <row r="16" spans="1:35" s="8" customFormat="1" ht="31.5" x14ac:dyDescent="0.25">
      <c r="A16" s="19"/>
      <c r="B16" s="19"/>
      <c r="C16" s="19"/>
      <c r="D16" s="19"/>
      <c r="E16" s="19"/>
      <c r="F16" s="19"/>
      <c r="G16" s="19"/>
      <c r="H16" s="19" t="s">
        <v>19</v>
      </c>
      <c r="I16" s="19" t="s">
        <v>24</v>
      </c>
      <c r="J16" s="19" t="s">
        <v>18</v>
      </c>
      <c r="K16" s="19" t="s">
        <v>18</v>
      </c>
      <c r="L16" s="19" t="s">
        <v>18</v>
      </c>
      <c r="M16" s="19" t="s">
        <v>18</v>
      </c>
      <c r="N16" s="19" t="s">
        <v>18</v>
      </c>
      <c r="O16" s="19" t="s">
        <v>18</v>
      </c>
      <c r="P16" s="19" t="s">
        <v>18</v>
      </c>
      <c r="Q16" s="19" t="s">
        <v>18</v>
      </c>
      <c r="R16" s="20" t="s">
        <v>15</v>
      </c>
      <c r="S16" s="21" t="s">
        <v>0</v>
      </c>
      <c r="T16" s="22">
        <f t="shared" ref="T16:Z16" si="0">T30+T208+T531+T592</f>
        <v>505632.4</v>
      </c>
      <c r="U16" s="22">
        <f t="shared" si="0"/>
        <v>641164.1</v>
      </c>
      <c r="V16" s="22">
        <f t="shared" si="0"/>
        <v>454063.09999999992</v>
      </c>
      <c r="W16" s="22">
        <f t="shared" si="0"/>
        <v>425522.1999999999</v>
      </c>
      <c r="X16" s="22">
        <f t="shared" si="0"/>
        <v>566444.9</v>
      </c>
      <c r="Y16" s="22">
        <f t="shared" si="0"/>
        <v>522180.40000000008</v>
      </c>
      <c r="Z16" s="22">
        <f t="shared" si="0"/>
        <v>853618.90000000014</v>
      </c>
      <c r="AA16" s="22">
        <f>SUM(T16:Z16)</f>
        <v>3968626</v>
      </c>
      <c r="AB16" s="21">
        <v>2024</v>
      </c>
      <c r="AC16" s="12"/>
      <c r="AD16" s="12"/>
      <c r="AE16" s="12"/>
      <c r="AF16" s="12"/>
      <c r="AG16" s="12"/>
      <c r="AH16" s="12"/>
      <c r="AI16" s="23"/>
    </row>
    <row r="17" spans="1:36" s="30" customFormat="1" ht="16.149999999999999" hidden="1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 t="s">
        <v>2</v>
      </c>
      <c r="S17" s="26" t="s">
        <v>0</v>
      </c>
      <c r="T17" s="27" t="e">
        <f t="shared" ref="T17:T23" si="1">S17*105.1%</f>
        <v>#VALUE!</v>
      </c>
      <c r="U17" s="27" t="e">
        <f t="shared" ref="U17:V23" si="2">T17*104.9%</f>
        <v>#VALUE!</v>
      </c>
      <c r="V17" s="27" t="e">
        <f t="shared" si="2"/>
        <v>#VALUE!</v>
      </c>
      <c r="W17" s="27" t="e">
        <f t="shared" ref="W17:W23" si="3">V17*105.1%</f>
        <v>#VALUE!</v>
      </c>
      <c r="X17" s="27" t="e">
        <f t="shared" ref="X17:Y23" si="4">W17*104.9%</f>
        <v>#VALUE!</v>
      </c>
      <c r="Y17" s="27" t="e">
        <f t="shared" si="4"/>
        <v>#VALUE!</v>
      </c>
      <c r="Z17" s="27"/>
      <c r="AA17" s="27" t="e">
        <f t="shared" ref="AA17:AA23" si="5">T17+U17+V17+W17+X17+Y17</f>
        <v>#VALUE!</v>
      </c>
      <c r="AB17" s="28">
        <v>2019</v>
      </c>
      <c r="AC17" s="29"/>
    </row>
    <row r="18" spans="1:36" s="30" customFormat="1" ht="16.149999999999999" hidden="1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 t="s">
        <v>4</v>
      </c>
      <c r="S18" s="26" t="s">
        <v>0</v>
      </c>
      <c r="T18" s="27" t="e">
        <f t="shared" si="1"/>
        <v>#VALUE!</v>
      </c>
      <c r="U18" s="27" t="e">
        <f t="shared" si="2"/>
        <v>#VALUE!</v>
      </c>
      <c r="V18" s="27" t="e">
        <f t="shared" si="2"/>
        <v>#VALUE!</v>
      </c>
      <c r="W18" s="27" t="e">
        <f t="shared" si="3"/>
        <v>#VALUE!</v>
      </c>
      <c r="X18" s="27" t="e">
        <f t="shared" si="4"/>
        <v>#VALUE!</v>
      </c>
      <c r="Y18" s="27" t="e">
        <f t="shared" si="4"/>
        <v>#VALUE!</v>
      </c>
      <c r="Z18" s="27"/>
      <c r="AA18" s="27" t="e">
        <f t="shared" si="5"/>
        <v>#VALUE!</v>
      </c>
      <c r="AB18" s="28">
        <v>2019</v>
      </c>
      <c r="AC18" s="29"/>
    </row>
    <row r="19" spans="1:36" s="30" customFormat="1" ht="16.149999999999999" hidden="1" customHeight="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 t="s">
        <v>3</v>
      </c>
      <c r="S19" s="26" t="s">
        <v>0</v>
      </c>
      <c r="T19" s="27" t="e">
        <f t="shared" si="1"/>
        <v>#VALUE!</v>
      </c>
      <c r="U19" s="27" t="e">
        <f t="shared" si="2"/>
        <v>#VALUE!</v>
      </c>
      <c r="V19" s="27" t="e">
        <f t="shared" si="2"/>
        <v>#VALUE!</v>
      </c>
      <c r="W19" s="27" t="e">
        <f t="shared" si="3"/>
        <v>#VALUE!</v>
      </c>
      <c r="X19" s="27" t="e">
        <f t="shared" si="4"/>
        <v>#VALUE!</v>
      </c>
      <c r="Y19" s="27" t="e">
        <f t="shared" si="4"/>
        <v>#VALUE!</v>
      </c>
      <c r="Z19" s="27"/>
      <c r="AA19" s="27" t="e">
        <f t="shared" si="5"/>
        <v>#VALUE!</v>
      </c>
      <c r="AB19" s="28">
        <v>2019</v>
      </c>
      <c r="AC19" s="29"/>
    </row>
    <row r="20" spans="1:36" s="30" customFormat="1" ht="16.149999999999999" hidden="1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 t="s">
        <v>5</v>
      </c>
      <c r="S20" s="26" t="s">
        <v>0</v>
      </c>
      <c r="T20" s="27" t="e">
        <f t="shared" si="1"/>
        <v>#VALUE!</v>
      </c>
      <c r="U20" s="27" t="e">
        <f t="shared" si="2"/>
        <v>#VALUE!</v>
      </c>
      <c r="V20" s="27" t="e">
        <f t="shared" si="2"/>
        <v>#VALUE!</v>
      </c>
      <c r="W20" s="27" t="e">
        <f t="shared" si="3"/>
        <v>#VALUE!</v>
      </c>
      <c r="X20" s="27" t="e">
        <f t="shared" si="4"/>
        <v>#VALUE!</v>
      </c>
      <c r="Y20" s="27" t="e">
        <f t="shared" si="4"/>
        <v>#VALUE!</v>
      </c>
      <c r="Z20" s="27"/>
      <c r="AA20" s="27" t="e">
        <f t="shared" si="5"/>
        <v>#VALUE!</v>
      </c>
      <c r="AB20" s="28">
        <v>2019</v>
      </c>
      <c r="AC20" s="29"/>
    </row>
    <row r="21" spans="1:36" s="30" customFormat="1" ht="16.149999999999999" hidden="1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 t="s">
        <v>6</v>
      </c>
      <c r="S21" s="26" t="s">
        <v>0</v>
      </c>
      <c r="T21" s="27" t="e">
        <f t="shared" si="1"/>
        <v>#VALUE!</v>
      </c>
      <c r="U21" s="27" t="e">
        <f t="shared" si="2"/>
        <v>#VALUE!</v>
      </c>
      <c r="V21" s="27" t="e">
        <f t="shared" si="2"/>
        <v>#VALUE!</v>
      </c>
      <c r="W21" s="27" t="e">
        <f t="shared" si="3"/>
        <v>#VALUE!</v>
      </c>
      <c r="X21" s="27" t="e">
        <f t="shared" si="4"/>
        <v>#VALUE!</v>
      </c>
      <c r="Y21" s="27" t="e">
        <f t="shared" si="4"/>
        <v>#VALUE!</v>
      </c>
      <c r="Z21" s="27"/>
      <c r="AA21" s="27" t="e">
        <f t="shared" si="5"/>
        <v>#VALUE!</v>
      </c>
      <c r="AB21" s="28">
        <v>2019</v>
      </c>
      <c r="AC21" s="29"/>
    </row>
    <row r="22" spans="1:36" s="30" customFormat="1" ht="16.149999999999999" hidden="1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 t="s">
        <v>7</v>
      </c>
      <c r="S22" s="26" t="s">
        <v>0</v>
      </c>
      <c r="T22" s="27" t="e">
        <f t="shared" si="1"/>
        <v>#VALUE!</v>
      </c>
      <c r="U22" s="27" t="e">
        <f t="shared" si="2"/>
        <v>#VALUE!</v>
      </c>
      <c r="V22" s="27" t="e">
        <f t="shared" si="2"/>
        <v>#VALUE!</v>
      </c>
      <c r="W22" s="27" t="e">
        <f t="shared" si="3"/>
        <v>#VALUE!</v>
      </c>
      <c r="X22" s="27" t="e">
        <f t="shared" si="4"/>
        <v>#VALUE!</v>
      </c>
      <c r="Y22" s="27" t="e">
        <f t="shared" si="4"/>
        <v>#VALUE!</v>
      </c>
      <c r="Z22" s="27"/>
      <c r="AA22" s="27" t="e">
        <f t="shared" si="5"/>
        <v>#VALUE!</v>
      </c>
      <c r="AB22" s="28">
        <v>2019</v>
      </c>
      <c r="AC22" s="29"/>
    </row>
    <row r="23" spans="1:36" s="30" customFormat="1" ht="16.149999999999999" hidden="1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 t="s">
        <v>1</v>
      </c>
      <c r="S23" s="26" t="s">
        <v>0</v>
      </c>
      <c r="T23" s="27" t="e">
        <f t="shared" si="1"/>
        <v>#VALUE!</v>
      </c>
      <c r="U23" s="27" t="e">
        <f t="shared" si="2"/>
        <v>#VALUE!</v>
      </c>
      <c r="V23" s="27" t="e">
        <f t="shared" si="2"/>
        <v>#VALUE!</v>
      </c>
      <c r="W23" s="27" t="e">
        <f t="shared" si="3"/>
        <v>#VALUE!</v>
      </c>
      <c r="X23" s="27" t="e">
        <f t="shared" si="4"/>
        <v>#VALUE!</v>
      </c>
      <c r="Y23" s="27" t="e">
        <f t="shared" si="4"/>
        <v>#VALUE!</v>
      </c>
      <c r="Z23" s="27"/>
      <c r="AA23" s="27" t="e">
        <f t="shared" si="5"/>
        <v>#VALUE!</v>
      </c>
      <c r="AB23" s="28">
        <v>2019</v>
      </c>
      <c r="AC23" s="29"/>
    </row>
    <row r="24" spans="1:36" s="8" customFormat="1" ht="31.5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80" t="s">
        <v>57</v>
      </c>
      <c r="S24" s="15"/>
      <c r="T24" s="33"/>
      <c r="U24" s="33"/>
      <c r="V24" s="33"/>
      <c r="W24" s="33"/>
      <c r="X24" s="33"/>
      <c r="Y24" s="33"/>
      <c r="Z24" s="33"/>
      <c r="AA24" s="33"/>
      <c r="AB24" s="135"/>
      <c r="AC24" s="81"/>
      <c r="AD24" s="35"/>
      <c r="AE24" s="35"/>
    </row>
    <row r="25" spans="1:36" ht="47.25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67" t="s">
        <v>386</v>
      </c>
      <c r="S25" s="37" t="s">
        <v>9</v>
      </c>
      <c r="T25" s="3">
        <f xml:space="preserve"> (416.9+89.6)/2557*100</f>
        <v>19.8083691826359</v>
      </c>
      <c r="U25" s="3">
        <f xml:space="preserve"> (416.9+89.6+58.4)/2557*100</f>
        <v>22.09229565897536</v>
      </c>
      <c r="V25" s="3">
        <f xml:space="preserve"> (416.9+89.6+58.4+46.2)/2557*100</f>
        <v>23.899100508408292</v>
      </c>
      <c r="W25" s="3">
        <f xml:space="preserve"> (416.9+89.6+58.4+46.2+69.9)/2557*100</f>
        <v>26.63277278060227</v>
      </c>
      <c r="X25" s="3">
        <f xml:space="preserve"> (416.9+89.6+58.4+46.2+69.9+X31)/2557*100</f>
        <v>28.975361752053185</v>
      </c>
      <c r="Y25" s="3">
        <f xml:space="preserve"> (416.9+89.6+58.4+46.2+69.9+X31+Y31)/Y28*100</f>
        <v>34.509361606135791</v>
      </c>
      <c r="Z25" s="3">
        <f xml:space="preserve"> (416.9+89.6+58.4+46.2+69.9+X31+Y31+Z31)/Z28*100</f>
        <v>39.572788013767969</v>
      </c>
      <c r="AA25" s="6">
        <f>Z25</f>
        <v>39.572788013767969</v>
      </c>
      <c r="AB25" s="151">
        <v>2024</v>
      </c>
      <c r="AC25" s="31"/>
    </row>
    <row r="26" spans="1:36" ht="47.25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67" t="s">
        <v>58</v>
      </c>
      <c r="S26" s="37" t="s">
        <v>9</v>
      </c>
      <c r="T26" s="3">
        <f>((842+61)+58)/2737*100</f>
        <v>35.111435878699304</v>
      </c>
      <c r="U26" s="3">
        <f>((842+61)+58+42)/2738*100</f>
        <v>36.632578524470418</v>
      </c>
      <c r="V26" s="3">
        <f>((842+61)+58+42+7)/2738*100</f>
        <v>36.888239590942298</v>
      </c>
      <c r="W26" s="3">
        <f>((842+61)+58+42+7+17)/2738*100</f>
        <v>37.509130752373999</v>
      </c>
      <c r="X26" s="3">
        <f>((842+61)+58+42+7+17+X209)/2947*100</f>
        <v>35.324058364438407</v>
      </c>
      <c r="Y26" s="3">
        <f>((842+61)+58+42+7+17+X209+Y209)/2947*100</f>
        <v>35.765184933831016</v>
      </c>
      <c r="Z26" s="3">
        <f>((842+61)+58+42+7+17+X209+Y209+Z209)/2947*100</f>
        <v>36.375975568374621</v>
      </c>
      <c r="AA26" s="6">
        <f>Z26</f>
        <v>36.375975568374621</v>
      </c>
      <c r="AB26" s="151">
        <v>2024</v>
      </c>
      <c r="AC26" s="38"/>
      <c r="AD26" s="39"/>
      <c r="AE26" s="39"/>
      <c r="AF26" s="10"/>
    </row>
    <row r="27" spans="1:36" ht="47.25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80" t="s">
        <v>59</v>
      </c>
      <c r="S27" s="37" t="s">
        <v>33</v>
      </c>
      <c r="T27" s="116">
        <f>T31/420.1</f>
        <v>0.21328255177338726</v>
      </c>
      <c r="U27" s="116">
        <f>U31/420.1</f>
        <v>0.13901452035229706</v>
      </c>
      <c r="V27" s="116">
        <f>V31/420.1</f>
        <v>0.10997381575815282</v>
      </c>
      <c r="W27" s="116">
        <f>W31/425.7</f>
        <v>0.164200140944327</v>
      </c>
      <c r="X27" s="116">
        <f>X31/424.9</f>
        <v>0.14097434690515415</v>
      </c>
      <c r="Y27" s="116">
        <f>Y31/414.8</f>
        <v>5.7859209257473482E-2</v>
      </c>
      <c r="Z27" s="116">
        <f>Z31/413</f>
        <v>4.092009685230024E-2</v>
      </c>
      <c r="AA27" s="128">
        <f>SUM(T27:Z27)</f>
        <v>0.86622468184309187</v>
      </c>
      <c r="AB27" s="151">
        <v>2024</v>
      </c>
      <c r="AC27" s="31"/>
    </row>
    <row r="28" spans="1:36" ht="31.5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80" t="s">
        <v>60</v>
      </c>
      <c r="S28" s="151" t="s">
        <v>50</v>
      </c>
      <c r="T28" s="3">
        <f>T156</f>
        <v>2557</v>
      </c>
      <c r="U28" s="3">
        <f t="shared" ref="U28:Z28" si="6">U156</f>
        <v>2220.9</v>
      </c>
      <c r="V28" s="3">
        <f t="shared" si="6"/>
        <v>2165.9</v>
      </c>
      <c r="W28" s="3">
        <f>W156</f>
        <v>2189.1</v>
      </c>
      <c r="X28" s="3">
        <f t="shared" si="6"/>
        <v>2192.6999999999998</v>
      </c>
      <c r="Y28" s="3">
        <f t="shared" si="6"/>
        <v>2216.5000000000005</v>
      </c>
      <c r="Z28" s="3">
        <f t="shared" si="6"/>
        <v>1975.6</v>
      </c>
      <c r="AA28" s="5">
        <f>Z28</f>
        <v>1975.6</v>
      </c>
      <c r="AB28" s="151">
        <v>2024</v>
      </c>
      <c r="AC28" s="31"/>
      <c r="AD28" s="23"/>
      <c r="AE28" s="10"/>
      <c r="AF28" s="10"/>
      <c r="AG28" s="10"/>
      <c r="AH28" s="10"/>
      <c r="AI28" s="10"/>
      <c r="AJ28" s="10"/>
    </row>
    <row r="29" spans="1:36" ht="47.25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80" t="s">
        <v>61</v>
      </c>
      <c r="S29" s="151" t="s">
        <v>48</v>
      </c>
      <c r="T29" s="40">
        <f>T34</f>
        <v>2400</v>
      </c>
      <c r="U29" s="40">
        <f t="shared" ref="U29:Z29" si="7">U34</f>
        <v>2400</v>
      </c>
      <c r="V29" s="40">
        <f t="shared" si="7"/>
        <v>4059</v>
      </c>
      <c r="W29" s="40">
        <f t="shared" si="7"/>
        <v>3100</v>
      </c>
      <c r="X29" s="40">
        <f t="shared" si="7"/>
        <v>3513</v>
      </c>
      <c r="Y29" s="40">
        <f t="shared" si="7"/>
        <v>4100</v>
      </c>
      <c r="Z29" s="40">
        <f t="shared" si="7"/>
        <v>3100</v>
      </c>
      <c r="AA29" s="43">
        <f>SUM(T29:Z29)</f>
        <v>22672</v>
      </c>
      <c r="AB29" s="151">
        <v>2024</v>
      </c>
      <c r="AC29" s="31"/>
    </row>
    <row r="30" spans="1:36" ht="31.5" x14ac:dyDescent="0.25">
      <c r="A30" s="42"/>
      <c r="B30" s="42"/>
      <c r="C30" s="42"/>
      <c r="D30" s="42"/>
      <c r="E30" s="42"/>
      <c r="F30" s="42"/>
      <c r="G30" s="42"/>
      <c r="H30" s="42" t="s">
        <v>19</v>
      </c>
      <c r="I30" s="42" t="s">
        <v>24</v>
      </c>
      <c r="J30" s="42" t="s">
        <v>18</v>
      </c>
      <c r="K30" s="42" t="s">
        <v>18</v>
      </c>
      <c r="L30" s="42" t="s">
        <v>19</v>
      </c>
      <c r="M30" s="42" t="s">
        <v>18</v>
      </c>
      <c r="N30" s="42" t="s">
        <v>18</v>
      </c>
      <c r="O30" s="42" t="s">
        <v>18</v>
      </c>
      <c r="P30" s="42" t="s">
        <v>18</v>
      </c>
      <c r="Q30" s="42" t="s">
        <v>18</v>
      </c>
      <c r="R30" s="87" t="s">
        <v>34</v>
      </c>
      <c r="S30" s="127" t="s">
        <v>223</v>
      </c>
      <c r="T30" s="126">
        <f>T40+T62+T68+T79+T112+T134+T139+T151+T154+T173+T176+T178+T188</f>
        <v>325992.60000000003</v>
      </c>
      <c r="U30" s="126">
        <f>U40+U62+U68+U79+U112+U134+U139+U151+U154+U173+U176+U178</f>
        <v>483865.9</v>
      </c>
      <c r="V30" s="126">
        <f>V40+V68+V79+V112+V134+V139+V151+V154+V173+V176+V178+V188</f>
        <v>417830.99999999994</v>
      </c>
      <c r="W30" s="126">
        <f>W40+W62+W68+W79+W112+W134+W139+W151+W154+W173+W176+W178+W188+W190</f>
        <v>361990.59999999992</v>
      </c>
      <c r="X30" s="126">
        <f>X40+X62+X68+X79+X112+X134+X139+X151+X154+X173+X176+X178+X188+X190</f>
        <v>477546.9</v>
      </c>
      <c r="Y30" s="126">
        <f>Y40+Y62+Y68+Y79+Y112+Y134+Y139+Y151+Y154+Y173+Y176+Y178+Y188+Y190+Y204</f>
        <v>450873.20000000007</v>
      </c>
      <c r="Z30" s="126">
        <f>Z40+Z62+Z68+Z79+Z112+Z134+Z139+Z151+Z154+Z173+Z176+Z178+Z188+Z190+Z206</f>
        <v>756439.40000000014</v>
      </c>
      <c r="AA30" s="126">
        <f>SUM(T30:Z30)</f>
        <v>3274539.6000000006</v>
      </c>
      <c r="AB30" s="127">
        <v>2024</v>
      </c>
      <c r="AC30" s="98"/>
    </row>
    <row r="31" spans="1:36" ht="31.1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138" t="s">
        <v>62</v>
      </c>
      <c r="S31" s="151" t="s">
        <v>50</v>
      </c>
      <c r="T31" s="4">
        <f t="shared" ref="T31:Y31" si="8">T54+T187</f>
        <v>89.6</v>
      </c>
      <c r="U31" s="4">
        <f t="shared" si="8"/>
        <v>58.4</v>
      </c>
      <c r="V31" s="3">
        <f t="shared" si="8"/>
        <v>46.2</v>
      </c>
      <c r="W31" s="4">
        <f t="shared" si="8"/>
        <v>69.900000000000006</v>
      </c>
      <c r="X31" s="4">
        <f t="shared" si="8"/>
        <v>59.9</v>
      </c>
      <c r="Y31" s="4">
        <f t="shared" si="8"/>
        <v>24</v>
      </c>
      <c r="Z31" s="4">
        <f>Z54+Z187+Z58</f>
        <v>16.899999999999999</v>
      </c>
      <c r="AA31" s="5">
        <f>SUM(T31:Z31)</f>
        <v>364.9</v>
      </c>
      <c r="AB31" s="151">
        <v>2024</v>
      </c>
      <c r="AC31" s="112"/>
    </row>
    <row r="32" spans="1:36" s="45" customFormat="1" ht="31.1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67" t="s">
        <v>63</v>
      </c>
      <c r="S32" s="37" t="s">
        <v>37</v>
      </c>
      <c r="T32" s="2">
        <f t="shared" ref="T32:Y32" si="9">T53+T186</f>
        <v>5</v>
      </c>
      <c r="U32" s="2">
        <f t="shared" si="9"/>
        <v>6</v>
      </c>
      <c r="V32" s="40">
        <f t="shared" si="9"/>
        <v>4</v>
      </c>
      <c r="W32" s="2">
        <f t="shared" si="9"/>
        <v>4</v>
      </c>
      <c r="X32" s="2">
        <f t="shared" si="9"/>
        <v>5</v>
      </c>
      <c r="Y32" s="40">
        <f t="shared" si="9"/>
        <v>4</v>
      </c>
      <c r="Z32" s="40">
        <f>Z53+Z186+Z57</f>
        <v>4</v>
      </c>
      <c r="AA32" s="41">
        <f>SUM(T32:Z32)</f>
        <v>32</v>
      </c>
      <c r="AB32" s="151">
        <v>2024</v>
      </c>
      <c r="AC32" s="31"/>
      <c r="AD32" s="44"/>
    </row>
    <row r="33" spans="1:31" s="45" customFormat="1" ht="31.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67" t="s">
        <v>64</v>
      </c>
      <c r="S33" s="37" t="s">
        <v>9</v>
      </c>
      <c r="T33" s="46">
        <v>100</v>
      </c>
      <c r="U33" s="46">
        <v>100</v>
      </c>
      <c r="V33" s="46">
        <v>100</v>
      </c>
      <c r="W33" s="46">
        <v>100</v>
      </c>
      <c r="X33" s="46">
        <v>100</v>
      </c>
      <c r="Y33" s="46">
        <v>100</v>
      </c>
      <c r="Z33" s="46">
        <v>100</v>
      </c>
      <c r="AA33" s="47">
        <v>100</v>
      </c>
      <c r="AB33" s="151">
        <v>2024</v>
      </c>
      <c r="AC33" s="31"/>
      <c r="AD33" s="44"/>
    </row>
    <row r="34" spans="1:31" ht="47.25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80" t="s">
        <v>65</v>
      </c>
      <c r="S34" s="151" t="s">
        <v>48</v>
      </c>
      <c r="T34" s="40">
        <f>T166</f>
        <v>2400</v>
      </c>
      <c r="U34" s="40">
        <f t="shared" ref="U34:Z34" si="10">U166</f>
        <v>2400</v>
      </c>
      <c r="V34" s="40">
        <f t="shared" si="10"/>
        <v>4059</v>
      </c>
      <c r="W34" s="40">
        <f t="shared" si="10"/>
        <v>3100</v>
      </c>
      <c r="X34" s="40">
        <f t="shared" si="10"/>
        <v>3513</v>
      </c>
      <c r="Y34" s="40">
        <f t="shared" si="10"/>
        <v>4100</v>
      </c>
      <c r="Z34" s="40">
        <f t="shared" si="10"/>
        <v>3100</v>
      </c>
      <c r="AA34" s="41">
        <f>SUM(T34:Z34)</f>
        <v>22672</v>
      </c>
      <c r="AB34" s="151">
        <v>2024</v>
      </c>
      <c r="AC34" s="31"/>
    </row>
    <row r="35" spans="1:31" ht="31.5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80" t="s">
        <v>66</v>
      </c>
      <c r="S35" s="151" t="s">
        <v>37</v>
      </c>
      <c r="T35" s="40">
        <f t="shared" ref="T35:Y35" si="11">T69</f>
        <v>10</v>
      </c>
      <c r="U35" s="40">
        <f t="shared" si="11"/>
        <v>10</v>
      </c>
      <c r="V35" s="40">
        <f t="shared" si="11"/>
        <v>9</v>
      </c>
      <c r="W35" s="40">
        <f t="shared" si="11"/>
        <v>10</v>
      </c>
      <c r="X35" s="40">
        <f t="shared" si="11"/>
        <v>9</v>
      </c>
      <c r="Y35" s="40">
        <f t="shared" si="11"/>
        <v>9</v>
      </c>
      <c r="Z35" s="40">
        <f t="shared" ref="Z35" si="12">Z69</f>
        <v>10</v>
      </c>
      <c r="AA35" s="43">
        <v>10</v>
      </c>
      <c r="AB35" s="151">
        <v>2024</v>
      </c>
      <c r="AC35" s="31"/>
    </row>
    <row r="36" spans="1:31" ht="31.5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138" t="s">
        <v>67</v>
      </c>
      <c r="S36" s="151" t="s">
        <v>37</v>
      </c>
      <c r="T36" s="40">
        <f t="shared" ref="T36:Y36" si="13">T80</f>
        <v>20</v>
      </c>
      <c r="U36" s="2">
        <f t="shared" si="13"/>
        <v>20</v>
      </c>
      <c r="V36" s="2">
        <f t="shared" si="13"/>
        <v>20</v>
      </c>
      <c r="W36" s="2">
        <f t="shared" si="13"/>
        <v>20</v>
      </c>
      <c r="X36" s="2">
        <f t="shared" si="13"/>
        <v>20</v>
      </c>
      <c r="Y36" s="2">
        <f t="shared" si="13"/>
        <v>20</v>
      </c>
      <c r="Z36" s="2">
        <f t="shared" ref="Z36" si="14">Z80</f>
        <v>20</v>
      </c>
      <c r="AA36" s="43">
        <v>20</v>
      </c>
      <c r="AB36" s="151">
        <v>2024</v>
      </c>
      <c r="AC36" s="31"/>
    </row>
    <row r="37" spans="1:31" s="45" customFormat="1" ht="46.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138" t="s">
        <v>292</v>
      </c>
      <c r="S37" s="37" t="s">
        <v>37</v>
      </c>
      <c r="T37" s="40">
        <f>T115</f>
        <v>25</v>
      </c>
      <c r="U37" s="40">
        <f>U115</f>
        <v>77</v>
      </c>
      <c r="V37" s="40">
        <f t="shared" ref="V37:Y37" si="15">V115</f>
        <v>74</v>
      </c>
      <c r="W37" s="40">
        <f t="shared" si="15"/>
        <v>63</v>
      </c>
      <c r="X37" s="40">
        <f t="shared" si="15"/>
        <v>60</v>
      </c>
      <c r="Y37" s="40">
        <f t="shared" si="15"/>
        <v>27</v>
      </c>
      <c r="Z37" s="40">
        <f t="shared" ref="Z37" si="16">Z115</f>
        <v>100</v>
      </c>
      <c r="AA37" s="43">
        <f>SUM(T37:Z37)</f>
        <v>426</v>
      </c>
      <c r="AB37" s="151">
        <v>2024</v>
      </c>
      <c r="AC37" s="98"/>
      <c r="AD37" s="44"/>
    </row>
    <row r="38" spans="1:31" s="45" customFormat="1" ht="45.75" customHeigh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150" t="s">
        <v>68</v>
      </c>
      <c r="S38" s="49" t="s">
        <v>40</v>
      </c>
      <c r="T38" s="50">
        <v>1</v>
      </c>
      <c r="U38" s="50">
        <v>1</v>
      </c>
      <c r="V38" s="50">
        <v>1</v>
      </c>
      <c r="W38" s="50">
        <v>1</v>
      </c>
      <c r="X38" s="50">
        <v>1</v>
      </c>
      <c r="Y38" s="50">
        <v>1</v>
      </c>
      <c r="Z38" s="50">
        <v>1</v>
      </c>
      <c r="AA38" s="51">
        <v>1</v>
      </c>
      <c r="AB38" s="52">
        <v>2024</v>
      </c>
      <c r="AC38" s="31"/>
      <c r="AD38" s="44"/>
    </row>
    <row r="39" spans="1:31" ht="30.7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67" t="s">
        <v>69</v>
      </c>
      <c r="S39" s="37" t="s">
        <v>37</v>
      </c>
      <c r="T39" s="40">
        <v>5</v>
      </c>
      <c r="U39" s="2">
        <v>6</v>
      </c>
      <c r="V39" s="2">
        <v>6</v>
      </c>
      <c r="W39" s="2">
        <v>6</v>
      </c>
      <c r="X39" s="2">
        <v>18</v>
      </c>
      <c r="Y39" s="2">
        <v>10</v>
      </c>
      <c r="Z39" s="2">
        <v>9</v>
      </c>
      <c r="AA39" s="43">
        <f>SUM(T39:Z39)</f>
        <v>60</v>
      </c>
      <c r="AB39" s="151">
        <v>2024</v>
      </c>
      <c r="AC39" s="108"/>
      <c r="AD39" s="89"/>
      <c r="AE39" s="8"/>
    </row>
    <row r="40" spans="1:31" ht="15.75" customHeight="1" x14ac:dyDescent="0.25">
      <c r="A40" s="48"/>
      <c r="B40" s="48"/>
      <c r="C40" s="48"/>
      <c r="D40" s="48" t="s">
        <v>18</v>
      </c>
      <c r="E40" s="48" t="s">
        <v>21</v>
      </c>
      <c r="F40" s="48" t="s">
        <v>18</v>
      </c>
      <c r="G40" s="48" t="s">
        <v>22</v>
      </c>
      <c r="H40" s="48" t="s">
        <v>19</v>
      </c>
      <c r="I40" s="48" t="s">
        <v>24</v>
      </c>
      <c r="J40" s="48" t="s">
        <v>18</v>
      </c>
      <c r="K40" s="48" t="s">
        <v>18</v>
      </c>
      <c r="L40" s="48" t="s">
        <v>19</v>
      </c>
      <c r="M40" s="48" t="s">
        <v>18</v>
      </c>
      <c r="N40" s="48" t="s">
        <v>18</v>
      </c>
      <c r="O40" s="48" t="s">
        <v>18</v>
      </c>
      <c r="P40" s="48" t="s">
        <v>18</v>
      </c>
      <c r="Q40" s="48" t="s">
        <v>18</v>
      </c>
      <c r="R40" s="153" t="s">
        <v>70</v>
      </c>
      <c r="S40" s="155" t="s">
        <v>0</v>
      </c>
      <c r="T40" s="53">
        <f>SUM(T41:T44)</f>
        <v>85389.599999999991</v>
      </c>
      <c r="U40" s="53">
        <f t="shared" ref="U40:Y40" si="17">SUM(U41:U44)</f>
        <v>921.2</v>
      </c>
      <c r="V40" s="53">
        <f t="shared" si="17"/>
        <v>350</v>
      </c>
      <c r="W40" s="53">
        <f t="shared" si="17"/>
        <v>7371.0999999999995</v>
      </c>
      <c r="X40" s="53">
        <f t="shared" si="17"/>
        <v>7729.2999999999975</v>
      </c>
      <c r="Y40" s="53">
        <f t="shared" si="17"/>
        <v>11374.399999999998</v>
      </c>
      <c r="Z40" s="53">
        <f>SUM(Z41:Z52)</f>
        <v>120620.09999999999</v>
      </c>
      <c r="AA40" s="53">
        <f>SUM(T40:Z40)</f>
        <v>233755.69999999998</v>
      </c>
      <c r="AB40" s="52">
        <v>2024</v>
      </c>
      <c r="AC40" s="112"/>
      <c r="AD40" s="54"/>
      <c r="AE40" s="8"/>
    </row>
    <row r="41" spans="1:31" ht="15" customHeight="1" x14ac:dyDescent="0.25">
      <c r="A41" s="48" t="s">
        <v>18</v>
      </c>
      <c r="B41" s="48" t="s">
        <v>18</v>
      </c>
      <c r="C41" s="48" t="s">
        <v>24</v>
      </c>
      <c r="D41" s="48" t="s">
        <v>18</v>
      </c>
      <c r="E41" s="48" t="s">
        <v>21</v>
      </c>
      <c r="F41" s="48" t="s">
        <v>18</v>
      </c>
      <c r="G41" s="48" t="s">
        <v>22</v>
      </c>
      <c r="H41" s="48" t="s">
        <v>19</v>
      </c>
      <c r="I41" s="48" t="s">
        <v>24</v>
      </c>
      <c r="J41" s="48" t="s">
        <v>18</v>
      </c>
      <c r="K41" s="48" t="s">
        <v>18</v>
      </c>
      <c r="L41" s="48" t="s">
        <v>19</v>
      </c>
      <c r="M41" s="48" t="s">
        <v>42</v>
      </c>
      <c r="N41" s="48" t="s">
        <v>42</v>
      </c>
      <c r="O41" s="48" t="s">
        <v>42</v>
      </c>
      <c r="P41" s="48" t="s">
        <v>42</v>
      </c>
      <c r="Q41" s="48" t="s">
        <v>42</v>
      </c>
      <c r="R41" s="154"/>
      <c r="S41" s="156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f>300-130</f>
        <v>170</v>
      </c>
      <c r="Z41" s="1">
        <v>0</v>
      </c>
      <c r="AA41" s="53">
        <f t="shared" ref="AA41:AA43" si="18">SUM(T41:Z41)</f>
        <v>170</v>
      </c>
      <c r="AB41" s="52">
        <v>2023</v>
      </c>
      <c r="AC41" s="112"/>
      <c r="AD41" s="54"/>
      <c r="AE41" s="8"/>
    </row>
    <row r="42" spans="1:31" ht="15" customHeight="1" x14ac:dyDescent="0.25">
      <c r="A42" s="48" t="s">
        <v>18</v>
      </c>
      <c r="B42" s="48" t="s">
        <v>19</v>
      </c>
      <c r="C42" s="48" t="s">
        <v>20</v>
      </c>
      <c r="D42" s="48" t="s">
        <v>18</v>
      </c>
      <c r="E42" s="48" t="s">
        <v>21</v>
      </c>
      <c r="F42" s="48" t="s">
        <v>18</v>
      </c>
      <c r="G42" s="48" t="s">
        <v>22</v>
      </c>
      <c r="H42" s="48" t="s">
        <v>19</v>
      </c>
      <c r="I42" s="48" t="s">
        <v>24</v>
      </c>
      <c r="J42" s="48" t="s">
        <v>18</v>
      </c>
      <c r="K42" s="48" t="s">
        <v>18</v>
      </c>
      <c r="L42" s="48" t="s">
        <v>19</v>
      </c>
      <c r="M42" s="48" t="s">
        <v>39</v>
      </c>
      <c r="N42" s="48" t="s">
        <v>21</v>
      </c>
      <c r="O42" s="48" t="s">
        <v>21</v>
      </c>
      <c r="P42" s="48" t="s">
        <v>21</v>
      </c>
      <c r="Q42" s="48" t="s">
        <v>18</v>
      </c>
      <c r="R42" s="154"/>
      <c r="S42" s="156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3">
        <f t="shared" si="18"/>
        <v>83674.399999999994</v>
      </c>
      <c r="AB42" s="52">
        <v>2018</v>
      </c>
      <c r="AC42" s="112"/>
      <c r="AD42" s="54"/>
      <c r="AE42" s="8"/>
    </row>
    <row r="43" spans="1:31" ht="15" customHeight="1" x14ac:dyDescent="0.25">
      <c r="A43" s="48" t="s">
        <v>18</v>
      </c>
      <c r="B43" s="48" t="s">
        <v>19</v>
      </c>
      <c r="C43" s="48" t="s">
        <v>20</v>
      </c>
      <c r="D43" s="48" t="s">
        <v>18</v>
      </c>
      <c r="E43" s="48" t="s">
        <v>21</v>
      </c>
      <c r="F43" s="48" t="s">
        <v>18</v>
      </c>
      <c r="G43" s="48" t="s">
        <v>22</v>
      </c>
      <c r="H43" s="48" t="s">
        <v>19</v>
      </c>
      <c r="I43" s="48" t="s">
        <v>24</v>
      </c>
      <c r="J43" s="48" t="s">
        <v>18</v>
      </c>
      <c r="K43" s="48" t="s">
        <v>18</v>
      </c>
      <c r="L43" s="48" t="s">
        <v>19</v>
      </c>
      <c r="M43" s="48" t="s">
        <v>42</v>
      </c>
      <c r="N43" s="48" t="s">
        <v>42</v>
      </c>
      <c r="O43" s="48" t="s">
        <v>42</v>
      </c>
      <c r="P43" s="48" t="s">
        <v>42</v>
      </c>
      <c r="Q43" s="48" t="s">
        <v>19</v>
      </c>
      <c r="R43" s="154"/>
      <c r="S43" s="156"/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f>2800+1412.6-496.7</f>
        <v>3715.9000000000005</v>
      </c>
      <c r="AA43" s="53">
        <f t="shared" si="18"/>
        <v>3715.9000000000005</v>
      </c>
      <c r="AB43" s="52">
        <v>2024</v>
      </c>
      <c r="AC43" s="112"/>
      <c r="AD43" s="54"/>
      <c r="AE43" s="8"/>
    </row>
    <row r="44" spans="1:31" ht="15" customHeight="1" x14ac:dyDescent="0.25">
      <c r="A44" s="48" t="s">
        <v>18</v>
      </c>
      <c r="B44" s="48" t="s">
        <v>19</v>
      </c>
      <c r="C44" s="48" t="s">
        <v>20</v>
      </c>
      <c r="D44" s="48" t="s">
        <v>18</v>
      </c>
      <c r="E44" s="48" t="s">
        <v>21</v>
      </c>
      <c r="F44" s="48" t="s">
        <v>18</v>
      </c>
      <c r="G44" s="48" t="s">
        <v>22</v>
      </c>
      <c r="H44" s="48" t="s">
        <v>19</v>
      </c>
      <c r="I44" s="48" t="s">
        <v>24</v>
      </c>
      <c r="J44" s="48" t="s">
        <v>18</v>
      </c>
      <c r="K44" s="48" t="s">
        <v>18</v>
      </c>
      <c r="L44" s="48" t="s">
        <v>19</v>
      </c>
      <c r="M44" s="48" t="s">
        <v>42</v>
      </c>
      <c r="N44" s="48" t="s">
        <v>42</v>
      </c>
      <c r="O44" s="48" t="s">
        <v>42</v>
      </c>
      <c r="P44" s="48" t="s">
        <v>42</v>
      </c>
      <c r="Q44" s="48" t="s">
        <v>42</v>
      </c>
      <c r="R44" s="154"/>
      <c r="S44" s="156"/>
      <c r="T44" s="1">
        <f>2298.3-43.1-12-538+10</f>
        <v>1715.2000000000003</v>
      </c>
      <c r="U44" s="1">
        <f>840+131.2-50</f>
        <v>921.2</v>
      </c>
      <c r="V44" s="1">
        <f>150+100+100</f>
        <v>350</v>
      </c>
      <c r="W44" s="1">
        <f>2477.4+9.4+100+70+600+5000-885.7</f>
        <v>7371.0999999999995</v>
      </c>
      <c r="X44" s="1">
        <f>0+300+6588.6+10900-10000+10005.3-10024.1-40.5</f>
        <v>7729.2999999999975</v>
      </c>
      <c r="Y44" s="1">
        <f>0+10605.3+892.8+500+283.8-1077.5</f>
        <v>11204.399999999998</v>
      </c>
      <c r="Z44" s="1">
        <f>250+100</f>
        <v>350</v>
      </c>
      <c r="AA44" s="53">
        <f>SUM(T44:Z44)</f>
        <v>29641.199999999993</v>
      </c>
      <c r="AB44" s="52">
        <v>2024</v>
      </c>
      <c r="AC44" s="112"/>
      <c r="AD44" s="54"/>
      <c r="AE44" s="8"/>
    </row>
    <row r="45" spans="1:31" ht="15" customHeight="1" x14ac:dyDescent="0.25">
      <c r="A45" s="48" t="s">
        <v>18</v>
      </c>
      <c r="B45" s="48" t="s">
        <v>19</v>
      </c>
      <c r="C45" s="48" t="s">
        <v>24</v>
      </c>
      <c r="D45" s="48" t="s">
        <v>18</v>
      </c>
      <c r="E45" s="48" t="s">
        <v>21</v>
      </c>
      <c r="F45" s="48" t="s">
        <v>18</v>
      </c>
      <c r="G45" s="48" t="s">
        <v>22</v>
      </c>
      <c r="H45" s="48" t="s">
        <v>19</v>
      </c>
      <c r="I45" s="48" t="s">
        <v>24</v>
      </c>
      <c r="J45" s="48" t="s">
        <v>18</v>
      </c>
      <c r="K45" s="48" t="s">
        <v>18</v>
      </c>
      <c r="L45" s="48" t="s">
        <v>19</v>
      </c>
      <c r="M45" s="48" t="s">
        <v>19</v>
      </c>
      <c r="N45" s="48" t="s">
        <v>19</v>
      </c>
      <c r="O45" s="48" t="s">
        <v>24</v>
      </c>
      <c r="P45" s="48" t="s">
        <v>24</v>
      </c>
      <c r="Q45" s="48" t="s">
        <v>18</v>
      </c>
      <c r="R45" s="154"/>
      <c r="S45" s="156"/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82000</v>
      </c>
      <c r="AA45" s="53">
        <f t="shared" ref="AA45:AA47" si="19">SUM(T45:Z45)</f>
        <v>82000</v>
      </c>
      <c r="AB45" s="52">
        <v>2024</v>
      </c>
      <c r="AC45" s="112"/>
      <c r="AD45" s="54"/>
      <c r="AE45" s="8"/>
    </row>
    <row r="46" spans="1:31" ht="15" customHeight="1" x14ac:dyDescent="0.25">
      <c r="A46" s="48" t="s">
        <v>18</v>
      </c>
      <c r="B46" s="48" t="s">
        <v>19</v>
      </c>
      <c r="C46" s="48" t="s">
        <v>24</v>
      </c>
      <c r="D46" s="48" t="s">
        <v>18</v>
      </c>
      <c r="E46" s="48" t="s">
        <v>21</v>
      </c>
      <c r="F46" s="48" t="s">
        <v>18</v>
      </c>
      <c r="G46" s="48" t="s">
        <v>22</v>
      </c>
      <c r="H46" s="48" t="s">
        <v>19</v>
      </c>
      <c r="I46" s="48" t="s">
        <v>24</v>
      </c>
      <c r="J46" s="48" t="s">
        <v>18</v>
      </c>
      <c r="K46" s="48" t="s">
        <v>18</v>
      </c>
      <c r="L46" s="48" t="s">
        <v>19</v>
      </c>
      <c r="M46" s="48" t="s">
        <v>19</v>
      </c>
      <c r="N46" s="48" t="s">
        <v>19</v>
      </c>
      <c r="O46" s="48" t="s">
        <v>24</v>
      </c>
      <c r="P46" s="48" t="s">
        <v>24</v>
      </c>
      <c r="Q46" s="48" t="s">
        <v>19</v>
      </c>
      <c r="R46" s="154"/>
      <c r="S46" s="156"/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18000</v>
      </c>
      <c r="AA46" s="53">
        <f t="shared" si="19"/>
        <v>18000</v>
      </c>
      <c r="AB46" s="52">
        <v>2024</v>
      </c>
      <c r="AC46" s="112"/>
      <c r="AD46" s="54"/>
      <c r="AE46" s="8"/>
    </row>
    <row r="47" spans="1:31" ht="15" customHeight="1" x14ac:dyDescent="0.25">
      <c r="A47" s="48" t="s">
        <v>18</v>
      </c>
      <c r="B47" s="48" t="s">
        <v>19</v>
      </c>
      <c r="C47" s="48" t="s">
        <v>24</v>
      </c>
      <c r="D47" s="48" t="s">
        <v>18</v>
      </c>
      <c r="E47" s="48" t="s">
        <v>21</v>
      </c>
      <c r="F47" s="48" t="s">
        <v>18</v>
      </c>
      <c r="G47" s="48" t="s">
        <v>22</v>
      </c>
      <c r="H47" s="48" t="s">
        <v>19</v>
      </c>
      <c r="I47" s="48" t="s">
        <v>24</v>
      </c>
      <c r="J47" s="48" t="s">
        <v>18</v>
      </c>
      <c r="K47" s="48" t="s">
        <v>18</v>
      </c>
      <c r="L47" s="48" t="s">
        <v>19</v>
      </c>
      <c r="M47" s="48" t="s">
        <v>36</v>
      </c>
      <c r="N47" s="48" t="s">
        <v>19</v>
      </c>
      <c r="O47" s="48" t="s">
        <v>24</v>
      </c>
      <c r="P47" s="48" t="s">
        <v>24</v>
      </c>
      <c r="Q47" s="48" t="s">
        <v>18</v>
      </c>
      <c r="R47" s="154"/>
      <c r="S47" s="156"/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f>1010.1-181.9</f>
        <v>828.2</v>
      </c>
      <c r="AA47" s="53">
        <f t="shared" si="19"/>
        <v>828.2</v>
      </c>
      <c r="AB47" s="52">
        <v>2024</v>
      </c>
      <c r="AC47" s="112"/>
      <c r="AD47" s="54"/>
      <c r="AE47" s="8"/>
    </row>
    <row r="48" spans="1:31" ht="15" customHeight="1" x14ac:dyDescent="0.25">
      <c r="A48" s="48" t="s">
        <v>18</v>
      </c>
      <c r="B48" s="48" t="s">
        <v>19</v>
      </c>
      <c r="C48" s="48" t="s">
        <v>24</v>
      </c>
      <c r="D48" s="48" t="s">
        <v>18</v>
      </c>
      <c r="E48" s="48" t="s">
        <v>21</v>
      </c>
      <c r="F48" s="48" t="s">
        <v>18</v>
      </c>
      <c r="G48" s="48" t="s">
        <v>22</v>
      </c>
      <c r="H48" s="48" t="s">
        <v>19</v>
      </c>
      <c r="I48" s="48" t="s">
        <v>24</v>
      </c>
      <c r="J48" s="48" t="s">
        <v>18</v>
      </c>
      <c r="K48" s="48" t="s">
        <v>18</v>
      </c>
      <c r="L48" s="48" t="s">
        <v>19</v>
      </c>
      <c r="M48" s="48" t="s">
        <v>19</v>
      </c>
      <c r="N48" s="48" t="s">
        <v>19</v>
      </c>
      <c r="O48" s="48" t="s">
        <v>24</v>
      </c>
      <c r="P48" s="48" t="s">
        <v>21</v>
      </c>
      <c r="Q48" s="48" t="s">
        <v>18</v>
      </c>
      <c r="R48" s="154"/>
      <c r="S48" s="156"/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14000</v>
      </c>
      <c r="AA48" s="53">
        <f t="shared" ref="AA48:AA52" si="20">SUM(T48:Z48)</f>
        <v>14000</v>
      </c>
      <c r="AB48" s="52">
        <v>2024</v>
      </c>
      <c r="AC48" s="112"/>
      <c r="AD48" s="54"/>
      <c r="AE48" s="8"/>
    </row>
    <row r="49" spans="1:31" ht="15" customHeight="1" x14ac:dyDescent="0.25">
      <c r="A49" s="48" t="s">
        <v>18</v>
      </c>
      <c r="B49" s="48" t="s">
        <v>19</v>
      </c>
      <c r="C49" s="48" t="s">
        <v>24</v>
      </c>
      <c r="D49" s="48" t="s">
        <v>18</v>
      </c>
      <c r="E49" s="48" t="s">
        <v>21</v>
      </c>
      <c r="F49" s="48" t="s">
        <v>18</v>
      </c>
      <c r="G49" s="48" t="s">
        <v>22</v>
      </c>
      <c r="H49" s="48" t="s">
        <v>19</v>
      </c>
      <c r="I49" s="48" t="s">
        <v>24</v>
      </c>
      <c r="J49" s="48" t="s">
        <v>18</v>
      </c>
      <c r="K49" s="48" t="s">
        <v>18</v>
      </c>
      <c r="L49" s="48" t="s">
        <v>19</v>
      </c>
      <c r="M49" s="48" t="s">
        <v>36</v>
      </c>
      <c r="N49" s="48" t="s">
        <v>19</v>
      </c>
      <c r="O49" s="48" t="s">
        <v>24</v>
      </c>
      <c r="P49" s="48" t="s">
        <v>21</v>
      </c>
      <c r="Q49" s="48" t="s">
        <v>18</v>
      </c>
      <c r="R49" s="154"/>
      <c r="S49" s="156"/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f>1044.1-902.6</f>
        <v>141.49999999999989</v>
      </c>
      <c r="AA49" s="53">
        <f t="shared" si="20"/>
        <v>141.49999999999989</v>
      </c>
      <c r="AB49" s="52">
        <v>2024</v>
      </c>
      <c r="AC49" s="112"/>
      <c r="AD49" s="54"/>
      <c r="AE49" s="8"/>
    </row>
    <row r="50" spans="1:31" ht="15" customHeight="1" x14ac:dyDescent="0.25">
      <c r="A50" s="48" t="s">
        <v>18</v>
      </c>
      <c r="B50" s="48" t="s">
        <v>19</v>
      </c>
      <c r="C50" s="48" t="s">
        <v>24</v>
      </c>
      <c r="D50" s="48" t="s">
        <v>18</v>
      </c>
      <c r="E50" s="48" t="s">
        <v>21</v>
      </c>
      <c r="F50" s="48" t="s">
        <v>18</v>
      </c>
      <c r="G50" s="48" t="s">
        <v>22</v>
      </c>
      <c r="H50" s="48" t="s">
        <v>19</v>
      </c>
      <c r="I50" s="48" t="s">
        <v>24</v>
      </c>
      <c r="J50" s="48" t="s">
        <v>18</v>
      </c>
      <c r="K50" s="48" t="s">
        <v>18</v>
      </c>
      <c r="L50" s="48" t="s">
        <v>19</v>
      </c>
      <c r="M50" s="48" t="s">
        <v>18</v>
      </c>
      <c r="N50" s="48" t="s">
        <v>19</v>
      </c>
      <c r="O50" s="48" t="s">
        <v>24</v>
      </c>
      <c r="P50" s="48" t="s">
        <v>24</v>
      </c>
      <c r="Q50" s="48" t="s">
        <v>19</v>
      </c>
      <c r="R50" s="154"/>
      <c r="S50" s="156"/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500</v>
      </c>
      <c r="AA50" s="53">
        <f t="shared" si="20"/>
        <v>500</v>
      </c>
      <c r="AB50" s="52">
        <v>2024</v>
      </c>
      <c r="AC50" s="112"/>
      <c r="AD50" s="54"/>
      <c r="AE50" s="8"/>
    </row>
    <row r="51" spans="1:31" ht="15" customHeight="1" x14ac:dyDescent="0.25">
      <c r="A51" s="48" t="s">
        <v>18</v>
      </c>
      <c r="B51" s="48" t="s">
        <v>19</v>
      </c>
      <c r="C51" s="48" t="s">
        <v>24</v>
      </c>
      <c r="D51" s="48" t="s">
        <v>18</v>
      </c>
      <c r="E51" s="48" t="s">
        <v>21</v>
      </c>
      <c r="F51" s="48" t="s">
        <v>18</v>
      </c>
      <c r="G51" s="48" t="s">
        <v>22</v>
      </c>
      <c r="H51" s="48" t="s">
        <v>19</v>
      </c>
      <c r="I51" s="48" t="s">
        <v>24</v>
      </c>
      <c r="J51" s="48" t="s">
        <v>18</v>
      </c>
      <c r="K51" s="48" t="s">
        <v>18</v>
      </c>
      <c r="L51" s="48" t="s">
        <v>19</v>
      </c>
      <c r="M51" s="48" t="s">
        <v>36</v>
      </c>
      <c r="N51" s="48" t="s">
        <v>19</v>
      </c>
      <c r="O51" s="48" t="s">
        <v>24</v>
      </c>
      <c r="P51" s="48" t="s">
        <v>24</v>
      </c>
      <c r="Q51" s="48" t="s">
        <v>19</v>
      </c>
      <c r="R51" s="154"/>
      <c r="S51" s="156"/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181.9</v>
      </c>
      <c r="AA51" s="53">
        <f t="shared" si="20"/>
        <v>181.9</v>
      </c>
      <c r="AB51" s="52">
        <v>2024</v>
      </c>
      <c r="AC51" s="112"/>
      <c r="AD51" s="54"/>
      <c r="AE51" s="8"/>
    </row>
    <row r="52" spans="1:31" ht="15" customHeight="1" x14ac:dyDescent="0.25">
      <c r="A52" s="48" t="s">
        <v>18</v>
      </c>
      <c r="B52" s="48" t="s">
        <v>19</v>
      </c>
      <c r="C52" s="48" t="s">
        <v>24</v>
      </c>
      <c r="D52" s="48" t="s">
        <v>18</v>
      </c>
      <c r="E52" s="48" t="s">
        <v>21</v>
      </c>
      <c r="F52" s="48" t="s">
        <v>18</v>
      </c>
      <c r="G52" s="48" t="s">
        <v>22</v>
      </c>
      <c r="H52" s="48" t="s">
        <v>19</v>
      </c>
      <c r="I52" s="48" t="s">
        <v>24</v>
      </c>
      <c r="J52" s="48" t="s">
        <v>18</v>
      </c>
      <c r="K52" s="48" t="s">
        <v>18</v>
      </c>
      <c r="L52" s="48" t="s">
        <v>19</v>
      </c>
      <c r="M52" s="48" t="s">
        <v>18</v>
      </c>
      <c r="N52" s="48" t="s">
        <v>19</v>
      </c>
      <c r="O52" s="48" t="s">
        <v>24</v>
      </c>
      <c r="P52" s="48" t="s">
        <v>21</v>
      </c>
      <c r="Q52" s="48" t="s">
        <v>18</v>
      </c>
      <c r="R52" s="154"/>
      <c r="S52" s="156"/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902.6</v>
      </c>
      <c r="AA52" s="53">
        <f t="shared" si="20"/>
        <v>902.6</v>
      </c>
      <c r="AB52" s="52">
        <v>2024</v>
      </c>
      <c r="AC52" s="112"/>
      <c r="AD52" s="54"/>
      <c r="AE52" s="8"/>
    </row>
    <row r="53" spans="1:31" s="62" customFormat="1" ht="30.7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69" t="s">
        <v>71</v>
      </c>
      <c r="S53" s="55" t="s">
        <v>37</v>
      </c>
      <c r="T53" s="2">
        <v>5</v>
      </c>
      <c r="U53" s="40">
        <v>0</v>
      </c>
      <c r="V53" s="40">
        <v>0</v>
      </c>
      <c r="W53" s="40">
        <v>2</v>
      </c>
      <c r="X53" s="40">
        <v>2</v>
      </c>
      <c r="Y53" s="40">
        <v>2</v>
      </c>
      <c r="Z53" s="40">
        <f>1+1</f>
        <v>2</v>
      </c>
      <c r="AA53" s="43">
        <f t="shared" ref="AA53:AA59" si="21">SUM(T53:Z53)</f>
        <v>13</v>
      </c>
      <c r="AB53" s="63">
        <v>2024</v>
      </c>
      <c r="AC53" s="31"/>
      <c r="AD53" s="83"/>
      <c r="AE53" s="83"/>
    </row>
    <row r="54" spans="1:31" s="62" customFormat="1" ht="30.7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69" t="s">
        <v>72</v>
      </c>
      <c r="S54" s="55" t="s">
        <v>50</v>
      </c>
      <c r="T54" s="3">
        <v>89.6</v>
      </c>
      <c r="U54" s="3">
        <v>0</v>
      </c>
      <c r="V54" s="3">
        <v>0</v>
      </c>
      <c r="W54" s="3">
        <f>2.9+0.6</f>
        <v>3.5</v>
      </c>
      <c r="X54" s="3">
        <f>2.4</f>
        <v>2.4</v>
      </c>
      <c r="Y54" s="3">
        <f>2+0.2</f>
        <v>2.2000000000000002</v>
      </c>
      <c r="Z54" s="3">
        <f>2.9+10</f>
        <v>12.9</v>
      </c>
      <c r="AA54" s="6">
        <f>SUM(T54:Z54)</f>
        <v>110.60000000000001</v>
      </c>
      <c r="AB54" s="63">
        <v>2024</v>
      </c>
      <c r="AC54" s="31"/>
      <c r="AD54" s="83"/>
      <c r="AE54" s="83"/>
    </row>
    <row r="55" spans="1:31" s="62" customFormat="1" ht="47.25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69" t="s">
        <v>358</v>
      </c>
      <c r="S55" s="55" t="s">
        <v>37</v>
      </c>
      <c r="T55" s="40">
        <v>8</v>
      </c>
      <c r="U55" s="40">
        <v>5</v>
      </c>
      <c r="V55" s="40">
        <v>8</v>
      </c>
      <c r="W55" s="40">
        <v>16</v>
      </c>
      <c r="X55" s="40">
        <v>12</v>
      </c>
      <c r="Y55" s="40">
        <v>7</v>
      </c>
      <c r="Z55" s="40">
        <v>7</v>
      </c>
      <c r="AA55" s="43">
        <f t="shared" si="21"/>
        <v>63</v>
      </c>
      <c r="AB55" s="63">
        <v>2024</v>
      </c>
      <c r="AC55" s="31"/>
      <c r="AD55" s="83"/>
      <c r="AE55" s="83"/>
    </row>
    <row r="56" spans="1:31" s="62" customFormat="1" ht="47.2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69" t="s">
        <v>372</v>
      </c>
      <c r="S56" s="55" t="s">
        <v>37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1</v>
      </c>
      <c r="Z56" s="40">
        <v>2</v>
      </c>
      <c r="AA56" s="43">
        <f t="shared" si="21"/>
        <v>3</v>
      </c>
      <c r="AB56" s="63">
        <v>2024</v>
      </c>
      <c r="AC56" s="31"/>
      <c r="AD56" s="83"/>
      <c r="AE56" s="83"/>
    </row>
    <row r="57" spans="1:31" s="62" customFormat="1" ht="61.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69" t="s">
        <v>368</v>
      </c>
      <c r="S57" s="55" t="s">
        <v>37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1</v>
      </c>
      <c r="AA57" s="43">
        <f t="shared" si="21"/>
        <v>1</v>
      </c>
      <c r="AB57" s="63">
        <v>2024</v>
      </c>
      <c r="AC57" s="31"/>
      <c r="AD57" s="83"/>
      <c r="AE57" s="83"/>
    </row>
    <row r="58" spans="1:31" s="62" customFormat="1" ht="63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69" t="s">
        <v>369</v>
      </c>
      <c r="S58" s="55" t="s">
        <v>50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3">
        <v>0.9</v>
      </c>
      <c r="AA58" s="6">
        <f t="shared" si="21"/>
        <v>0.9</v>
      </c>
      <c r="AB58" s="63">
        <v>2024</v>
      </c>
      <c r="AC58" s="31"/>
      <c r="AD58" s="83"/>
      <c r="AE58" s="83"/>
    </row>
    <row r="59" spans="1:31" s="62" customFormat="1" ht="46.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69" t="s">
        <v>375</v>
      </c>
      <c r="S59" s="55" t="s">
        <v>37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1</v>
      </c>
      <c r="AA59" s="43">
        <f t="shared" si="21"/>
        <v>1</v>
      </c>
      <c r="AB59" s="63">
        <v>2024</v>
      </c>
      <c r="AC59" s="31"/>
      <c r="AD59" s="83"/>
      <c r="AE59" s="83"/>
    </row>
    <row r="60" spans="1:31" ht="46.5" customHeight="1" x14ac:dyDescent="0.25">
      <c r="A60" s="48" t="s">
        <v>18</v>
      </c>
      <c r="B60" s="48" t="s">
        <v>19</v>
      </c>
      <c r="C60" s="48" t="s">
        <v>20</v>
      </c>
      <c r="D60" s="48" t="s">
        <v>18</v>
      </c>
      <c r="E60" s="48" t="s">
        <v>21</v>
      </c>
      <c r="F60" s="48" t="s">
        <v>18</v>
      </c>
      <c r="G60" s="48" t="s">
        <v>22</v>
      </c>
      <c r="H60" s="48" t="s">
        <v>19</v>
      </c>
      <c r="I60" s="48" t="s">
        <v>24</v>
      </c>
      <c r="J60" s="48" t="s">
        <v>18</v>
      </c>
      <c r="K60" s="48" t="s">
        <v>18</v>
      </c>
      <c r="L60" s="48" t="s">
        <v>19</v>
      </c>
      <c r="M60" s="48" t="s">
        <v>42</v>
      </c>
      <c r="N60" s="48" t="s">
        <v>42</v>
      </c>
      <c r="O60" s="48" t="s">
        <v>42</v>
      </c>
      <c r="P60" s="48" t="s">
        <v>42</v>
      </c>
      <c r="Q60" s="48" t="s">
        <v>42</v>
      </c>
      <c r="R60" s="150" t="s">
        <v>73</v>
      </c>
      <c r="S60" s="49" t="s">
        <v>40</v>
      </c>
      <c r="T60" s="50">
        <v>0</v>
      </c>
      <c r="U60" s="50">
        <v>0</v>
      </c>
      <c r="V60" s="50">
        <v>0</v>
      </c>
      <c r="W60" s="50">
        <v>1</v>
      </c>
      <c r="X60" s="50">
        <v>1</v>
      </c>
      <c r="Y60" s="50">
        <v>1</v>
      </c>
      <c r="Z60" s="50">
        <v>0</v>
      </c>
      <c r="AA60" s="51">
        <v>1</v>
      </c>
      <c r="AB60" s="52">
        <v>2023</v>
      </c>
      <c r="AC60" s="31"/>
      <c r="AD60" s="91"/>
      <c r="AE60" s="91"/>
    </row>
    <row r="61" spans="1:31" s="45" customFormat="1" ht="30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67" t="s">
        <v>74</v>
      </c>
      <c r="S61" s="46" t="s">
        <v>37</v>
      </c>
      <c r="T61" s="40">
        <v>0</v>
      </c>
      <c r="U61" s="40">
        <v>0</v>
      </c>
      <c r="V61" s="40">
        <v>0</v>
      </c>
      <c r="W61" s="40">
        <v>1</v>
      </c>
      <c r="X61" s="40">
        <v>1</v>
      </c>
      <c r="Y61" s="40">
        <v>1</v>
      </c>
      <c r="Z61" s="40">
        <v>0</v>
      </c>
      <c r="AA61" s="43">
        <f>SUM(T61:Z61)</f>
        <v>3</v>
      </c>
      <c r="AB61" s="37">
        <v>2023</v>
      </c>
      <c r="AC61" s="31"/>
      <c r="AD61" s="44"/>
    </row>
    <row r="62" spans="1:31" ht="24.6" hidden="1" customHeigh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162" t="s">
        <v>75</v>
      </c>
      <c r="S62" s="56" t="s">
        <v>0</v>
      </c>
      <c r="T62" s="1"/>
      <c r="U62" s="1">
        <f t="shared" ref="U62:Z62" si="22">U64</f>
        <v>0</v>
      </c>
      <c r="V62" s="1">
        <f t="shared" si="22"/>
        <v>0</v>
      </c>
      <c r="W62" s="1">
        <f t="shared" si="22"/>
        <v>0</v>
      </c>
      <c r="X62" s="1">
        <f t="shared" si="22"/>
        <v>0</v>
      </c>
      <c r="Y62" s="1">
        <f t="shared" si="22"/>
        <v>0</v>
      </c>
      <c r="Z62" s="1">
        <f t="shared" si="22"/>
        <v>0</v>
      </c>
      <c r="AA62" s="53">
        <f>T62+U62+V62+W62+X62+Y62</f>
        <v>0</v>
      </c>
      <c r="AB62" s="52">
        <v>2018</v>
      </c>
    </row>
    <row r="63" spans="1:31" ht="22.15" hidden="1" customHeight="1" x14ac:dyDescent="0.25">
      <c r="A63" s="48" t="s">
        <v>18</v>
      </c>
      <c r="B63" s="48" t="s">
        <v>18</v>
      </c>
      <c r="C63" s="48" t="s">
        <v>23</v>
      </c>
      <c r="D63" s="48" t="s">
        <v>18</v>
      </c>
      <c r="E63" s="48" t="s">
        <v>21</v>
      </c>
      <c r="F63" s="48" t="s">
        <v>18</v>
      </c>
      <c r="G63" s="48" t="s">
        <v>22</v>
      </c>
      <c r="H63" s="48" t="s">
        <v>19</v>
      </c>
      <c r="I63" s="48" t="s">
        <v>24</v>
      </c>
      <c r="J63" s="48" t="s">
        <v>18</v>
      </c>
      <c r="K63" s="48" t="s">
        <v>18</v>
      </c>
      <c r="L63" s="48" t="s">
        <v>19</v>
      </c>
      <c r="M63" s="48" t="s">
        <v>18</v>
      </c>
      <c r="N63" s="48" t="s">
        <v>18</v>
      </c>
      <c r="O63" s="48" t="s">
        <v>18</v>
      </c>
      <c r="P63" s="48" t="s">
        <v>18</v>
      </c>
      <c r="Q63" s="48" t="s">
        <v>18</v>
      </c>
      <c r="R63" s="177"/>
      <c r="S63" s="49" t="s">
        <v>0</v>
      </c>
      <c r="T63" s="1"/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53">
        <f>T63+U63+V63+W63+X63+Y63</f>
        <v>0</v>
      </c>
      <c r="AB63" s="52">
        <v>2018</v>
      </c>
    </row>
    <row r="64" spans="1:31" ht="20.45" hidden="1" customHeight="1" x14ac:dyDescent="0.25">
      <c r="A64" s="48" t="s">
        <v>18</v>
      </c>
      <c r="B64" s="48" t="s">
        <v>18</v>
      </c>
      <c r="C64" s="48" t="s">
        <v>23</v>
      </c>
      <c r="D64" s="48" t="s">
        <v>18</v>
      </c>
      <c r="E64" s="48" t="s">
        <v>21</v>
      </c>
      <c r="F64" s="48" t="s">
        <v>18</v>
      </c>
      <c r="G64" s="48" t="s">
        <v>22</v>
      </c>
      <c r="H64" s="48" t="s">
        <v>19</v>
      </c>
      <c r="I64" s="48" t="s">
        <v>24</v>
      </c>
      <c r="J64" s="48" t="s">
        <v>18</v>
      </c>
      <c r="K64" s="48" t="s">
        <v>18</v>
      </c>
      <c r="L64" s="48" t="s">
        <v>19</v>
      </c>
      <c r="M64" s="48" t="s">
        <v>19</v>
      </c>
      <c r="N64" s="48" t="s">
        <v>18</v>
      </c>
      <c r="O64" s="48" t="s">
        <v>23</v>
      </c>
      <c r="P64" s="48" t="s">
        <v>19</v>
      </c>
      <c r="Q64" s="48" t="s">
        <v>43</v>
      </c>
      <c r="R64" s="177"/>
      <c r="S64" s="56" t="s">
        <v>0</v>
      </c>
      <c r="T64" s="1"/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53">
        <f>T64+U64+V64+W64+X64+Y64</f>
        <v>0</v>
      </c>
      <c r="AB64" s="52">
        <v>2018</v>
      </c>
    </row>
    <row r="65" spans="1:34" ht="21" hidden="1" customHeight="1" x14ac:dyDescent="0.25">
      <c r="A65" s="48" t="s">
        <v>18</v>
      </c>
      <c r="B65" s="48" t="s">
        <v>18</v>
      </c>
      <c r="C65" s="48" t="s">
        <v>23</v>
      </c>
      <c r="D65" s="48" t="s">
        <v>18</v>
      </c>
      <c r="E65" s="48" t="s">
        <v>21</v>
      </c>
      <c r="F65" s="48" t="s">
        <v>18</v>
      </c>
      <c r="G65" s="48" t="s">
        <v>22</v>
      </c>
      <c r="H65" s="48" t="s">
        <v>19</v>
      </c>
      <c r="I65" s="48" t="s">
        <v>24</v>
      </c>
      <c r="J65" s="48" t="s">
        <v>18</v>
      </c>
      <c r="K65" s="48" t="s">
        <v>18</v>
      </c>
      <c r="L65" s="48" t="s">
        <v>19</v>
      </c>
      <c r="M65" s="48" t="s">
        <v>36</v>
      </c>
      <c r="N65" s="48" t="s">
        <v>18</v>
      </c>
      <c r="O65" s="48" t="s">
        <v>23</v>
      </c>
      <c r="P65" s="48" t="s">
        <v>19</v>
      </c>
      <c r="Q65" s="48" t="s">
        <v>45</v>
      </c>
      <c r="R65" s="177"/>
      <c r="S65" s="56" t="s">
        <v>0</v>
      </c>
      <c r="T65" s="1"/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53">
        <f>T65+U65+V65+W65+X65+Y65</f>
        <v>0</v>
      </c>
      <c r="AB65" s="51">
        <v>2018</v>
      </c>
    </row>
    <row r="66" spans="1:34" ht="36" hidden="1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67" t="s">
        <v>76</v>
      </c>
      <c r="S66" s="37" t="s">
        <v>48</v>
      </c>
      <c r="T66" s="40"/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3"/>
      <c r="AB66" s="2">
        <v>2018</v>
      </c>
      <c r="AD66" s="91"/>
      <c r="AE66" s="91"/>
    </row>
    <row r="67" spans="1:34" ht="41.45" hidden="1" customHeight="1" x14ac:dyDescent="0.25">
      <c r="A67" s="32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68" t="s">
        <v>77</v>
      </c>
      <c r="S67" s="57" t="s">
        <v>9</v>
      </c>
      <c r="T67" s="58">
        <v>100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8">
        <v>0</v>
      </c>
      <c r="AA67" s="59">
        <v>100</v>
      </c>
      <c r="AB67" s="21">
        <v>2023</v>
      </c>
      <c r="AC67" s="102"/>
      <c r="AD67" s="89"/>
    </row>
    <row r="68" spans="1:34" ht="31.5" x14ac:dyDescent="0.25">
      <c r="A68" s="48"/>
      <c r="B68" s="48"/>
      <c r="C68" s="48"/>
      <c r="D68" s="48" t="s">
        <v>18</v>
      </c>
      <c r="E68" s="48" t="s">
        <v>21</v>
      </c>
      <c r="F68" s="48" t="s">
        <v>18</v>
      </c>
      <c r="G68" s="48" t="s">
        <v>22</v>
      </c>
      <c r="H68" s="48" t="s">
        <v>19</v>
      </c>
      <c r="I68" s="48" t="s">
        <v>24</v>
      </c>
      <c r="J68" s="48" t="s">
        <v>18</v>
      </c>
      <c r="K68" s="48" t="s">
        <v>18</v>
      </c>
      <c r="L68" s="48" t="s">
        <v>19</v>
      </c>
      <c r="M68" s="48" t="s">
        <v>42</v>
      </c>
      <c r="N68" s="48" t="s">
        <v>42</v>
      </c>
      <c r="O68" s="48" t="s">
        <v>42</v>
      </c>
      <c r="P68" s="48" t="s">
        <v>42</v>
      </c>
      <c r="Q68" s="48" t="s">
        <v>42</v>
      </c>
      <c r="R68" s="66" t="s">
        <v>78</v>
      </c>
      <c r="S68" s="52" t="s">
        <v>0</v>
      </c>
      <c r="T68" s="53">
        <f t="shared" ref="T68:Y68" si="23">T70+T72+T77+T74</f>
        <v>5077.4000000000005</v>
      </c>
      <c r="U68" s="53">
        <f t="shared" si="23"/>
        <v>2855.4</v>
      </c>
      <c r="V68" s="53">
        <f t="shared" si="23"/>
        <v>2623.8999999999996</v>
      </c>
      <c r="W68" s="53">
        <f t="shared" si="23"/>
        <v>3067.3</v>
      </c>
      <c r="X68" s="53">
        <f t="shared" si="23"/>
        <v>4101</v>
      </c>
      <c r="Y68" s="53">
        <f t="shared" si="23"/>
        <v>3616.7</v>
      </c>
      <c r="Z68" s="53">
        <f t="shared" ref="Z68" si="24">Z70+Z72+Z77+Z74</f>
        <v>3813.9</v>
      </c>
      <c r="AA68" s="53">
        <f>SUM(T68:Z68)</f>
        <v>25155.600000000002</v>
      </c>
      <c r="AB68" s="52">
        <v>2024</v>
      </c>
      <c r="AC68" s="107"/>
    </row>
    <row r="69" spans="1:34" ht="31.5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69" t="s">
        <v>79</v>
      </c>
      <c r="S69" s="151" t="s">
        <v>37</v>
      </c>
      <c r="T69" s="2">
        <f t="shared" ref="T69:Y69" si="25">T71+T73+T75+T78</f>
        <v>10</v>
      </c>
      <c r="U69" s="2">
        <f t="shared" si="25"/>
        <v>10</v>
      </c>
      <c r="V69" s="2">
        <f t="shared" si="25"/>
        <v>9</v>
      </c>
      <c r="W69" s="2">
        <f t="shared" si="25"/>
        <v>10</v>
      </c>
      <c r="X69" s="2">
        <f t="shared" si="25"/>
        <v>9</v>
      </c>
      <c r="Y69" s="2">
        <f t="shared" si="25"/>
        <v>9</v>
      </c>
      <c r="Z69" s="2">
        <f t="shared" ref="Z69" si="26">Z71+Z73+Z75+Z78</f>
        <v>10</v>
      </c>
      <c r="AA69" s="43">
        <f>Z69</f>
        <v>10</v>
      </c>
      <c r="AB69" s="37">
        <v>2024</v>
      </c>
      <c r="AC69" s="113"/>
      <c r="AD69" s="92"/>
      <c r="AE69" s="103"/>
      <c r="AF69" s="93"/>
      <c r="AG69" s="103"/>
      <c r="AH69" s="93"/>
    </row>
    <row r="70" spans="1:34" s="62" customFormat="1" ht="30.75" customHeight="1" x14ac:dyDescent="0.25">
      <c r="A70" s="48" t="s">
        <v>18</v>
      </c>
      <c r="B70" s="48" t="s">
        <v>18</v>
      </c>
      <c r="C70" s="48" t="s">
        <v>22</v>
      </c>
      <c r="D70" s="48" t="s">
        <v>18</v>
      </c>
      <c r="E70" s="48" t="s">
        <v>21</v>
      </c>
      <c r="F70" s="48" t="s">
        <v>18</v>
      </c>
      <c r="G70" s="48" t="s">
        <v>22</v>
      </c>
      <c r="H70" s="48" t="s">
        <v>19</v>
      </c>
      <c r="I70" s="48" t="s">
        <v>24</v>
      </c>
      <c r="J70" s="48" t="s">
        <v>18</v>
      </c>
      <c r="K70" s="48" t="s">
        <v>18</v>
      </c>
      <c r="L70" s="48" t="s">
        <v>19</v>
      </c>
      <c r="M70" s="48" t="s">
        <v>42</v>
      </c>
      <c r="N70" s="48" t="s">
        <v>42</v>
      </c>
      <c r="O70" s="48" t="s">
        <v>42</v>
      </c>
      <c r="P70" s="48" t="s">
        <v>42</v>
      </c>
      <c r="Q70" s="48" t="s">
        <v>42</v>
      </c>
      <c r="R70" s="150" t="s">
        <v>80</v>
      </c>
      <c r="S70" s="49" t="s">
        <v>0</v>
      </c>
      <c r="T70" s="1">
        <f>1417.5-141.8-26.5</f>
        <v>1249.2</v>
      </c>
      <c r="U70" s="1">
        <f>1000-88.8-46.3</f>
        <v>864.90000000000009</v>
      </c>
      <c r="V70" s="1">
        <f>1000-374-115</f>
        <v>511</v>
      </c>
      <c r="W70" s="1">
        <f>1000-476.5</f>
        <v>523.5</v>
      </c>
      <c r="X70" s="1">
        <f>1000-50-74.8-218.4-87.8</f>
        <v>569.00000000000011</v>
      </c>
      <c r="Y70" s="1">
        <f>1000-381.1</f>
        <v>618.9</v>
      </c>
      <c r="Z70" s="1">
        <f>700-40.5</f>
        <v>659.5</v>
      </c>
      <c r="AA70" s="53">
        <f>SUM(T70:Z70)</f>
        <v>4996</v>
      </c>
      <c r="AB70" s="52">
        <v>2024</v>
      </c>
      <c r="AC70" s="105"/>
      <c r="AD70" s="61"/>
      <c r="AE70" s="61"/>
    </row>
    <row r="71" spans="1:34" s="45" customFormat="1" ht="31.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138" t="s">
        <v>81</v>
      </c>
      <c r="S71" s="37" t="s">
        <v>37</v>
      </c>
      <c r="T71" s="2">
        <v>3</v>
      </c>
      <c r="U71" s="2">
        <v>3</v>
      </c>
      <c r="V71" s="2">
        <v>2</v>
      </c>
      <c r="W71" s="2">
        <v>2</v>
      </c>
      <c r="X71" s="2">
        <v>1</v>
      </c>
      <c r="Y71" s="40">
        <v>2</v>
      </c>
      <c r="Z71" s="2">
        <v>2</v>
      </c>
      <c r="AA71" s="41">
        <v>2</v>
      </c>
      <c r="AB71" s="37">
        <v>2024</v>
      </c>
      <c r="AC71" s="113"/>
      <c r="AD71" s="92"/>
      <c r="AE71" s="92"/>
    </row>
    <row r="72" spans="1:34" s="62" customFormat="1" ht="31.5" x14ac:dyDescent="0.25">
      <c r="A72" s="48" t="s">
        <v>18</v>
      </c>
      <c r="B72" s="48" t="s">
        <v>18</v>
      </c>
      <c r="C72" s="48" t="s">
        <v>24</v>
      </c>
      <c r="D72" s="48" t="s">
        <v>18</v>
      </c>
      <c r="E72" s="48" t="s">
        <v>21</v>
      </c>
      <c r="F72" s="48" t="s">
        <v>18</v>
      </c>
      <c r="G72" s="48" t="s">
        <v>22</v>
      </c>
      <c r="H72" s="48" t="s">
        <v>19</v>
      </c>
      <c r="I72" s="48" t="s">
        <v>24</v>
      </c>
      <c r="J72" s="48" t="s">
        <v>18</v>
      </c>
      <c r="K72" s="48" t="s">
        <v>18</v>
      </c>
      <c r="L72" s="48" t="s">
        <v>19</v>
      </c>
      <c r="M72" s="48" t="s">
        <v>42</v>
      </c>
      <c r="N72" s="48" t="s">
        <v>42</v>
      </c>
      <c r="O72" s="48" t="s">
        <v>42</v>
      </c>
      <c r="P72" s="48" t="s">
        <v>42</v>
      </c>
      <c r="Q72" s="48" t="s">
        <v>42</v>
      </c>
      <c r="R72" s="150" t="s">
        <v>82</v>
      </c>
      <c r="S72" s="49" t="s">
        <v>0</v>
      </c>
      <c r="T72" s="1">
        <f>1115-77.4</f>
        <v>1037.5999999999999</v>
      </c>
      <c r="U72" s="1">
        <f>1100-208-27.6</f>
        <v>864.4</v>
      </c>
      <c r="V72" s="1">
        <f>1100-205.4</f>
        <v>894.6</v>
      </c>
      <c r="W72" s="1">
        <f>1100-302.2</f>
        <v>797.8</v>
      </c>
      <c r="X72" s="1">
        <f>1100+15-1.3</f>
        <v>1113.7</v>
      </c>
      <c r="Y72" s="1">
        <f>1100+30</f>
        <v>1130</v>
      </c>
      <c r="Z72" s="1">
        <f>1100+670-634</f>
        <v>1136</v>
      </c>
      <c r="AA72" s="53">
        <f>SUM(T72:Z72)</f>
        <v>6974.0999999999995</v>
      </c>
      <c r="AB72" s="52">
        <v>2024</v>
      </c>
      <c r="AC72" s="31"/>
      <c r="AD72" s="61"/>
      <c r="AE72" s="61"/>
    </row>
    <row r="73" spans="1:34" s="45" customFormat="1" ht="30.7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138" t="s">
        <v>83</v>
      </c>
      <c r="S73" s="37" t="s">
        <v>37</v>
      </c>
      <c r="T73" s="40">
        <v>4</v>
      </c>
      <c r="U73" s="40">
        <v>4</v>
      </c>
      <c r="V73" s="40">
        <v>4</v>
      </c>
      <c r="W73" s="40">
        <v>4</v>
      </c>
      <c r="X73" s="40">
        <v>4</v>
      </c>
      <c r="Y73" s="40">
        <v>4</v>
      </c>
      <c r="Z73" s="40">
        <v>4</v>
      </c>
      <c r="AA73" s="43">
        <v>4</v>
      </c>
      <c r="AB73" s="37">
        <v>2024</v>
      </c>
      <c r="AC73" s="114"/>
      <c r="AD73" s="100"/>
      <c r="AE73" s="94"/>
    </row>
    <row r="74" spans="1:34" s="62" customFormat="1" ht="31.5" x14ac:dyDescent="0.25">
      <c r="A74" s="48" t="s">
        <v>18</v>
      </c>
      <c r="B74" s="48" t="s">
        <v>18</v>
      </c>
      <c r="C74" s="48" t="s">
        <v>21</v>
      </c>
      <c r="D74" s="48" t="s">
        <v>18</v>
      </c>
      <c r="E74" s="48" t="s">
        <v>21</v>
      </c>
      <c r="F74" s="48" t="s">
        <v>18</v>
      </c>
      <c r="G74" s="48" t="s">
        <v>22</v>
      </c>
      <c r="H74" s="48" t="s">
        <v>19</v>
      </c>
      <c r="I74" s="48" t="s">
        <v>24</v>
      </c>
      <c r="J74" s="48" t="s">
        <v>18</v>
      </c>
      <c r="K74" s="48" t="s">
        <v>18</v>
      </c>
      <c r="L74" s="48" t="s">
        <v>19</v>
      </c>
      <c r="M74" s="48" t="s">
        <v>42</v>
      </c>
      <c r="N74" s="48" t="s">
        <v>42</v>
      </c>
      <c r="O74" s="48" t="s">
        <v>42</v>
      </c>
      <c r="P74" s="48" t="s">
        <v>42</v>
      </c>
      <c r="Q74" s="48" t="s">
        <v>42</v>
      </c>
      <c r="R74" s="150" t="s">
        <v>82</v>
      </c>
      <c r="S74" s="49" t="s">
        <v>0</v>
      </c>
      <c r="T74" s="1">
        <f>962.3-96.3-88.8</f>
        <v>777.2</v>
      </c>
      <c r="U74" s="1">
        <f>800-392-1.6</f>
        <v>406.4</v>
      </c>
      <c r="V74" s="1">
        <f>800-126</f>
        <v>674</v>
      </c>
      <c r="W74" s="1">
        <f>800+155</f>
        <v>955</v>
      </c>
      <c r="X74" s="1">
        <f>800+400+264.9-204.9-21</f>
        <v>1239</v>
      </c>
      <c r="Y74" s="1">
        <f>800+101.6-218.3-30</f>
        <v>653.29999999999995</v>
      </c>
      <c r="Z74" s="1">
        <f>800-225.6</f>
        <v>574.4</v>
      </c>
      <c r="AA74" s="53">
        <f>SUM(T74:Z74)</f>
        <v>5279.2999999999993</v>
      </c>
      <c r="AB74" s="52">
        <v>2024</v>
      </c>
      <c r="AC74" s="107"/>
    </row>
    <row r="75" spans="1:34" s="62" customFormat="1" ht="31.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138" t="s">
        <v>84</v>
      </c>
      <c r="S75" s="37" t="s">
        <v>37</v>
      </c>
      <c r="T75" s="40">
        <v>2</v>
      </c>
      <c r="U75" s="40">
        <v>2</v>
      </c>
      <c r="V75" s="40">
        <v>2</v>
      </c>
      <c r="W75" s="40">
        <v>3</v>
      </c>
      <c r="X75" s="40">
        <v>3</v>
      </c>
      <c r="Y75" s="40">
        <v>2</v>
      </c>
      <c r="Z75" s="40">
        <v>2</v>
      </c>
      <c r="AA75" s="43">
        <v>2</v>
      </c>
      <c r="AB75" s="37">
        <v>2024</v>
      </c>
      <c r="AC75" s="31"/>
    </row>
    <row r="76" spans="1:34" s="45" customFormat="1" ht="47.25" hidden="1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68" t="s">
        <v>85</v>
      </c>
      <c r="S76" s="57" t="s">
        <v>8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  <c r="Z76" s="58">
        <v>0</v>
      </c>
      <c r="AA76" s="59">
        <f>T76+U76+V76+W76+X76+Y76</f>
        <v>0</v>
      </c>
      <c r="AB76" s="21">
        <v>2023</v>
      </c>
      <c r="AC76" s="114"/>
      <c r="AD76" s="89"/>
      <c r="AE76" s="92"/>
    </row>
    <row r="77" spans="1:34" s="62" customFormat="1" ht="31.5" x14ac:dyDescent="0.25">
      <c r="A77" s="48" t="s">
        <v>18</v>
      </c>
      <c r="B77" s="48" t="s">
        <v>18</v>
      </c>
      <c r="C77" s="48" t="s">
        <v>25</v>
      </c>
      <c r="D77" s="48" t="s">
        <v>18</v>
      </c>
      <c r="E77" s="48" t="s">
        <v>21</v>
      </c>
      <c r="F77" s="48" t="s">
        <v>18</v>
      </c>
      <c r="G77" s="48" t="s">
        <v>22</v>
      </c>
      <c r="H77" s="48" t="s">
        <v>19</v>
      </c>
      <c r="I77" s="48" t="s">
        <v>24</v>
      </c>
      <c r="J77" s="48" t="s">
        <v>18</v>
      </c>
      <c r="K77" s="48" t="s">
        <v>18</v>
      </c>
      <c r="L77" s="48" t="s">
        <v>19</v>
      </c>
      <c r="M77" s="48" t="s">
        <v>42</v>
      </c>
      <c r="N77" s="48" t="s">
        <v>42</v>
      </c>
      <c r="O77" s="48" t="s">
        <v>42</v>
      </c>
      <c r="P77" s="48" t="s">
        <v>42</v>
      </c>
      <c r="Q77" s="48" t="s">
        <v>42</v>
      </c>
      <c r="R77" s="150" t="s">
        <v>86</v>
      </c>
      <c r="S77" s="49" t="s">
        <v>0</v>
      </c>
      <c r="T77" s="1">
        <f>646.8+300+1489-55+86.2-453.6</f>
        <v>2013.4</v>
      </c>
      <c r="U77" s="1">
        <f>600+369.3+0.6+20-270.2</f>
        <v>719.7</v>
      </c>
      <c r="V77" s="1">
        <f>600-42.7-13</f>
        <v>544.29999999999995</v>
      </c>
      <c r="W77" s="1">
        <f>600+100+91</f>
        <v>791</v>
      </c>
      <c r="X77" s="1">
        <f>1190-10.7</f>
        <v>1179.3</v>
      </c>
      <c r="Y77" s="1">
        <f>1390-175.5</f>
        <v>1214.5</v>
      </c>
      <c r="Z77" s="1">
        <f>1340+4+100</f>
        <v>1444</v>
      </c>
      <c r="AA77" s="53">
        <f>SUM(T77:Z77)</f>
        <v>7906.2000000000007</v>
      </c>
      <c r="AB77" s="52">
        <v>2024</v>
      </c>
      <c r="AC77" s="107"/>
    </row>
    <row r="78" spans="1:34" s="62" customFormat="1" ht="31.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138" t="s">
        <v>87</v>
      </c>
      <c r="S78" s="37" t="s">
        <v>37</v>
      </c>
      <c r="T78" s="40">
        <v>1</v>
      </c>
      <c r="U78" s="40">
        <v>1</v>
      </c>
      <c r="V78" s="40">
        <v>1</v>
      </c>
      <c r="W78" s="40">
        <v>1</v>
      </c>
      <c r="X78" s="40">
        <v>1</v>
      </c>
      <c r="Y78" s="40">
        <v>1</v>
      </c>
      <c r="Z78" s="40">
        <v>2</v>
      </c>
      <c r="AA78" s="43">
        <v>2</v>
      </c>
      <c r="AB78" s="37">
        <v>2024</v>
      </c>
      <c r="AC78" s="31"/>
    </row>
    <row r="79" spans="1:34" s="62" customFormat="1" ht="33.75" customHeight="1" x14ac:dyDescent="0.25">
      <c r="A79" s="48"/>
      <c r="B79" s="48"/>
      <c r="C79" s="48"/>
      <c r="D79" s="48" t="s">
        <v>18</v>
      </c>
      <c r="E79" s="48" t="s">
        <v>21</v>
      </c>
      <c r="F79" s="48" t="s">
        <v>18</v>
      </c>
      <c r="G79" s="48" t="s">
        <v>22</v>
      </c>
      <c r="H79" s="48" t="s">
        <v>19</v>
      </c>
      <c r="I79" s="48" t="s">
        <v>24</v>
      </c>
      <c r="J79" s="48" t="s">
        <v>18</v>
      </c>
      <c r="K79" s="48" t="s">
        <v>18</v>
      </c>
      <c r="L79" s="48" t="s">
        <v>19</v>
      </c>
      <c r="M79" s="48" t="s">
        <v>18</v>
      </c>
      <c r="N79" s="48" t="s">
        <v>18</v>
      </c>
      <c r="O79" s="48" t="s">
        <v>18</v>
      </c>
      <c r="P79" s="48" t="s">
        <v>18</v>
      </c>
      <c r="Q79" s="48" t="s">
        <v>18</v>
      </c>
      <c r="R79" s="66" t="s">
        <v>88</v>
      </c>
      <c r="S79" s="52" t="s">
        <v>0</v>
      </c>
      <c r="T79" s="53">
        <f t="shared" ref="T79:Y79" si="27">T82+T92+T104</f>
        <v>3922.5999999999995</v>
      </c>
      <c r="U79" s="53">
        <f t="shared" si="27"/>
        <v>4901.3</v>
      </c>
      <c r="V79" s="53">
        <f>V82+V92+V104</f>
        <v>5627.7999999999993</v>
      </c>
      <c r="W79" s="53">
        <f t="shared" si="27"/>
        <v>5467.3</v>
      </c>
      <c r="X79" s="53">
        <f t="shared" si="27"/>
        <v>7139.3999999999987</v>
      </c>
      <c r="Y79" s="53">
        <f t="shared" si="27"/>
        <v>2247.1</v>
      </c>
      <c r="Z79" s="53">
        <f t="shared" ref="Z79" si="28">Z82+Z92+Z104</f>
        <v>57081</v>
      </c>
      <c r="AA79" s="53">
        <f>SUM(T79:Z79)</f>
        <v>86386.5</v>
      </c>
      <c r="AB79" s="52">
        <v>2024</v>
      </c>
      <c r="AC79" s="107"/>
    </row>
    <row r="80" spans="1:34" s="45" customFormat="1" ht="31.1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69" t="s">
        <v>89</v>
      </c>
      <c r="S80" s="151" t="s">
        <v>37</v>
      </c>
      <c r="T80" s="2">
        <f t="shared" ref="T80:Z80" si="29">T90+T101+T110</f>
        <v>20</v>
      </c>
      <c r="U80" s="2">
        <f t="shared" si="29"/>
        <v>20</v>
      </c>
      <c r="V80" s="2">
        <f t="shared" si="29"/>
        <v>20</v>
      </c>
      <c r="W80" s="2">
        <f t="shared" si="29"/>
        <v>20</v>
      </c>
      <c r="X80" s="2">
        <f t="shared" si="29"/>
        <v>20</v>
      </c>
      <c r="Y80" s="2">
        <f t="shared" si="29"/>
        <v>20</v>
      </c>
      <c r="Z80" s="2">
        <f t="shared" si="29"/>
        <v>20</v>
      </c>
      <c r="AA80" s="43">
        <v>20</v>
      </c>
      <c r="AB80" s="37">
        <v>2024</v>
      </c>
      <c r="AC80" s="31"/>
    </row>
    <row r="81" spans="1:34" s="45" customFormat="1" ht="47.25" hidden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69" t="s">
        <v>376</v>
      </c>
      <c r="S81" s="146" t="s">
        <v>9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3">
        <v>100</v>
      </c>
      <c r="AA81" s="6">
        <v>100</v>
      </c>
      <c r="AB81" s="37">
        <v>2024</v>
      </c>
      <c r="AC81" s="31"/>
    </row>
    <row r="82" spans="1:34" s="62" customFormat="1" ht="15.75" customHeight="1" x14ac:dyDescent="0.25">
      <c r="A82" s="48" t="s">
        <v>18</v>
      </c>
      <c r="B82" s="48" t="s">
        <v>18</v>
      </c>
      <c r="C82" s="48" t="s">
        <v>22</v>
      </c>
      <c r="D82" s="48" t="s">
        <v>18</v>
      </c>
      <c r="E82" s="48" t="s">
        <v>21</v>
      </c>
      <c r="F82" s="48" t="s">
        <v>18</v>
      </c>
      <c r="G82" s="48" t="s">
        <v>22</v>
      </c>
      <c r="H82" s="48" t="s">
        <v>19</v>
      </c>
      <c r="I82" s="48" t="s">
        <v>24</v>
      </c>
      <c r="J82" s="48" t="s">
        <v>18</v>
      </c>
      <c r="K82" s="48" t="s">
        <v>18</v>
      </c>
      <c r="L82" s="48" t="s">
        <v>19</v>
      </c>
      <c r="M82" s="48" t="s">
        <v>18</v>
      </c>
      <c r="N82" s="48" t="s">
        <v>18</v>
      </c>
      <c r="O82" s="48" t="s">
        <v>18</v>
      </c>
      <c r="P82" s="48" t="s">
        <v>18</v>
      </c>
      <c r="Q82" s="48" t="s">
        <v>18</v>
      </c>
      <c r="R82" s="153" t="s">
        <v>90</v>
      </c>
      <c r="S82" s="159" t="s">
        <v>0</v>
      </c>
      <c r="T82" s="1">
        <f>SUM(T86:T89)</f>
        <v>1324.5</v>
      </c>
      <c r="U82" s="1">
        <f t="shared" ref="U82:Y82" si="30">SUM(U86:U89)</f>
        <v>1333.6999999999998</v>
      </c>
      <c r="V82" s="1">
        <f t="shared" si="30"/>
        <v>855.10000000000014</v>
      </c>
      <c r="W82" s="1">
        <f t="shared" si="30"/>
        <v>718.9</v>
      </c>
      <c r="X82" s="1">
        <f t="shared" si="30"/>
        <v>5138.4999999999991</v>
      </c>
      <c r="Y82" s="1">
        <f t="shared" si="30"/>
        <v>619.5</v>
      </c>
      <c r="Z82" s="1">
        <f>SUM(Z83:Z89)</f>
        <v>22474.600000000002</v>
      </c>
      <c r="AA82" s="53">
        <f>SUM(T82:Z82)</f>
        <v>32464.800000000003</v>
      </c>
      <c r="AB82" s="52">
        <v>2024</v>
      </c>
      <c r="AC82" s="106"/>
      <c r="AD82" s="96"/>
      <c r="AE82" s="96"/>
      <c r="AG82" s="97"/>
      <c r="AH82" s="96"/>
    </row>
    <row r="83" spans="1:34" s="62" customFormat="1" ht="15.75" customHeight="1" x14ac:dyDescent="0.25">
      <c r="A83" s="48" t="s">
        <v>18</v>
      </c>
      <c r="B83" s="48" t="s">
        <v>18</v>
      </c>
      <c r="C83" s="48" t="s">
        <v>22</v>
      </c>
      <c r="D83" s="48" t="s">
        <v>18</v>
      </c>
      <c r="E83" s="48" t="s">
        <v>21</v>
      </c>
      <c r="F83" s="48" t="s">
        <v>18</v>
      </c>
      <c r="G83" s="48" t="s">
        <v>22</v>
      </c>
      <c r="H83" s="48" t="s">
        <v>19</v>
      </c>
      <c r="I83" s="48" t="s">
        <v>24</v>
      </c>
      <c r="J83" s="48" t="s">
        <v>18</v>
      </c>
      <c r="K83" s="48" t="s">
        <v>18</v>
      </c>
      <c r="L83" s="48" t="s">
        <v>19</v>
      </c>
      <c r="M83" s="48" t="s">
        <v>18</v>
      </c>
      <c r="N83" s="48" t="s">
        <v>18</v>
      </c>
      <c r="O83" s="48" t="s">
        <v>20</v>
      </c>
      <c r="P83" s="48" t="s">
        <v>161</v>
      </c>
      <c r="Q83" s="48" t="s">
        <v>18</v>
      </c>
      <c r="R83" s="154"/>
      <c r="S83" s="160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f>453.4-187.5</f>
        <v>265.89999999999998</v>
      </c>
      <c r="AA83" s="53">
        <f t="shared" ref="AA83:AA85" si="31">SUM(T83:Z83)</f>
        <v>265.89999999999998</v>
      </c>
      <c r="AB83" s="52">
        <v>2024</v>
      </c>
      <c r="AC83" s="145"/>
      <c r="AD83" s="96"/>
      <c r="AE83" s="96"/>
      <c r="AG83" s="97"/>
      <c r="AH83" s="96"/>
    </row>
    <row r="84" spans="1:34" s="62" customFormat="1" ht="15.75" customHeight="1" x14ac:dyDescent="0.25">
      <c r="A84" s="48" t="s">
        <v>18</v>
      </c>
      <c r="B84" s="48" t="s">
        <v>18</v>
      </c>
      <c r="C84" s="48" t="s">
        <v>22</v>
      </c>
      <c r="D84" s="48" t="s">
        <v>18</v>
      </c>
      <c r="E84" s="48" t="s">
        <v>21</v>
      </c>
      <c r="F84" s="48" t="s">
        <v>18</v>
      </c>
      <c r="G84" s="48" t="s">
        <v>22</v>
      </c>
      <c r="H84" s="48" t="s">
        <v>19</v>
      </c>
      <c r="I84" s="48" t="s">
        <v>24</v>
      </c>
      <c r="J84" s="48" t="s">
        <v>18</v>
      </c>
      <c r="K84" s="48" t="s">
        <v>18</v>
      </c>
      <c r="L84" s="48" t="s">
        <v>19</v>
      </c>
      <c r="M84" s="48" t="s">
        <v>19</v>
      </c>
      <c r="N84" s="48" t="s">
        <v>18</v>
      </c>
      <c r="O84" s="48" t="s">
        <v>20</v>
      </c>
      <c r="P84" s="48" t="s">
        <v>161</v>
      </c>
      <c r="Q84" s="48" t="s">
        <v>18</v>
      </c>
      <c r="R84" s="154"/>
      <c r="S84" s="160"/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16949.2</v>
      </c>
      <c r="AA84" s="53">
        <f t="shared" si="31"/>
        <v>16949.2</v>
      </c>
      <c r="AB84" s="52">
        <v>2024</v>
      </c>
      <c r="AC84" s="145"/>
      <c r="AD84" s="96"/>
      <c r="AE84" s="96"/>
      <c r="AG84" s="97"/>
      <c r="AH84" s="96"/>
    </row>
    <row r="85" spans="1:34" s="62" customFormat="1" ht="15.75" customHeight="1" x14ac:dyDescent="0.25">
      <c r="A85" s="48" t="s">
        <v>18</v>
      </c>
      <c r="B85" s="48" t="s">
        <v>18</v>
      </c>
      <c r="C85" s="48" t="s">
        <v>22</v>
      </c>
      <c r="D85" s="48" t="s">
        <v>18</v>
      </c>
      <c r="E85" s="48" t="s">
        <v>21</v>
      </c>
      <c r="F85" s="48" t="s">
        <v>18</v>
      </c>
      <c r="G85" s="48" t="s">
        <v>22</v>
      </c>
      <c r="H85" s="48" t="s">
        <v>19</v>
      </c>
      <c r="I85" s="48" t="s">
        <v>24</v>
      </c>
      <c r="J85" s="48" t="s">
        <v>18</v>
      </c>
      <c r="K85" s="48" t="s">
        <v>18</v>
      </c>
      <c r="L85" s="48" t="s">
        <v>19</v>
      </c>
      <c r="M85" s="48" t="s">
        <v>36</v>
      </c>
      <c r="N85" s="48" t="s">
        <v>18</v>
      </c>
      <c r="O85" s="48" t="s">
        <v>20</v>
      </c>
      <c r="P85" s="48" t="s">
        <v>161</v>
      </c>
      <c r="Q85" s="48" t="s">
        <v>18</v>
      </c>
      <c r="R85" s="154"/>
      <c r="S85" s="160"/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4237.3</v>
      </c>
      <c r="AA85" s="53">
        <f t="shared" si="31"/>
        <v>4237.3</v>
      </c>
      <c r="AB85" s="52">
        <v>2024</v>
      </c>
      <c r="AC85" s="145"/>
      <c r="AD85" s="96"/>
      <c r="AE85" s="96"/>
      <c r="AG85" s="97"/>
      <c r="AH85" s="96"/>
    </row>
    <row r="86" spans="1:34" s="62" customFormat="1" x14ac:dyDescent="0.25">
      <c r="A86" s="48" t="s">
        <v>18</v>
      </c>
      <c r="B86" s="48" t="s">
        <v>18</v>
      </c>
      <c r="C86" s="48" t="s">
        <v>22</v>
      </c>
      <c r="D86" s="48" t="s">
        <v>18</v>
      </c>
      <c r="E86" s="48" t="s">
        <v>21</v>
      </c>
      <c r="F86" s="48" t="s">
        <v>18</v>
      </c>
      <c r="G86" s="48" t="s">
        <v>22</v>
      </c>
      <c r="H86" s="48" t="s">
        <v>19</v>
      </c>
      <c r="I86" s="48" t="s">
        <v>24</v>
      </c>
      <c r="J86" s="48" t="s">
        <v>18</v>
      </c>
      <c r="K86" s="48" t="s">
        <v>18</v>
      </c>
      <c r="L86" s="48" t="s">
        <v>19</v>
      </c>
      <c r="M86" s="48" t="s">
        <v>18</v>
      </c>
      <c r="N86" s="48" t="s">
        <v>18</v>
      </c>
      <c r="O86" s="48" t="s">
        <v>23</v>
      </c>
      <c r="P86" s="48" t="s">
        <v>19</v>
      </c>
      <c r="Q86" s="48" t="s">
        <v>24</v>
      </c>
      <c r="R86" s="154"/>
      <c r="S86" s="160"/>
      <c r="T86" s="1">
        <v>0</v>
      </c>
      <c r="U86" s="1">
        <v>0</v>
      </c>
      <c r="V86" s="1">
        <v>0</v>
      </c>
      <c r="W86" s="1">
        <v>0</v>
      </c>
      <c r="X86" s="1">
        <f>99.4-85.5</f>
        <v>13.900000000000006</v>
      </c>
      <c r="Y86" s="1">
        <v>0</v>
      </c>
      <c r="Z86" s="1">
        <v>0</v>
      </c>
      <c r="AA86" s="53">
        <f t="shared" ref="AA86:AA89" si="32">SUM(T86:Z86)</f>
        <v>13.900000000000006</v>
      </c>
      <c r="AB86" s="52">
        <v>2022</v>
      </c>
      <c r="AC86" s="107"/>
    </row>
    <row r="87" spans="1:34" s="62" customFormat="1" x14ac:dyDescent="0.25">
      <c r="A87" s="48" t="s">
        <v>18</v>
      </c>
      <c r="B87" s="48" t="s">
        <v>18</v>
      </c>
      <c r="C87" s="48" t="s">
        <v>22</v>
      </c>
      <c r="D87" s="48" t="s">
        <v>18</v>
      </c>
      <c r="E87" s="48" t="s">
        <v>21</v>
      </c>
      <c r="F87" s="48" t="s">
        <v>18</v>
      </c>
      <c r="G87" s="48" t="s">
        <v>22</v>
      </c>
      <c r="H87" s="48" t="s">
        <v>19</v>
      </c>
      <c r="I87" s="48" t="s">
        <v>24</v>
      </c>
      <c r="J87" s="48" t="s">
        <v>18</v>
      </c>
      <c r="K87" s="48" t="s">
        <v>18</v>
      </c>
      <c r="L87" s="48" t="s">
        <v>19</v>
      </c>
      <c r="M87" s="48" t="s">
        <v>19</v>
      </c>
      <c r="N87" s="48" t="s">
        <v>18</v>
      </c>
      <c r="O87" s="48" t="s">
        <v>23</v>
      </c>
      <c r="P87" s="48" t="s">
        <v>19</v>
      </c>
      <c r="Q87" s="48" t="s">
        <v>24</v>
      </c>
      <c r="R87" s="154"/>
      <c r="S87" s="160"/>
      <c r="T87" s="1">
        <v>0</v>
      </c>
      <c r="U87" s="1">
        <v>0</v>
      </c>
      <c r="V87" s="1">
        <v>0</v>
      </c>
      <c r="W87" s="1">
        <v>0</v>
      </c>
      <c r="X87" s="1">
        <v>4179.7</v>
      </c>
      <c r="Y87" s="1">
        <v>0</v>
      </c>
      <c r="Z87" s="1">
        <v>0</v>
      </c>
      <c r="AA87" s="53">
        <f t="shared" si="32"/>
        <v>4179.7</v>
      </c>
      <c r="AB87" s="52">
        <v>2022</v>
      </c>
      <c r="AC87" s="107"/>
    </row>
    <row r="88" spans="1:34" s="62" customFormat="1" x14ac:dyDescent="0.25">
      <c r="A88" s="48" t="s">
        <v>18</v>
      </c>
      <c r="B88" s="48" t="s">
        <v>18</v>
      </c>
      <c r="C88" s="48" t="s">
        <v>22</v>
      </c>
      <c r="D88" s="48" t="s">
        <v>18</v>
      </c>
      <c r="E88" s="48" t="s">
        <v>21</v>
      </c>
      <c r="F88" s="48" t="s">
        <v>18</v>
      </c>
      <c r="G88" s="48" t="s">
        <v>22</v>
      </c>
      <c r="H88" s="48" t="s">
        <v>19</v>
      </c>
      <c r="I88" s="48" t="s">
        <v>24</v>
      </c>
      <c r="J88" s="48" t="s">
        <v>18</v>
      </c>
      <c r="K88" s="48" t="s">
        <v>18</v>
      </c>
      <c r="L88" s="48" t="s">
        <v>19</v>
      </c>
      <c r="M88" s="48" t="s">
        <v>36</v>
      </c>
      <c r="N88" s="48" t="s">
        <v>18</v>
      </c>
      <c r="O88" s="48" t="s">
        <v>23</v>
      </c>
      <c r="P88" s="48" t="s">
        <v>19</v>
      </c>
      <c r="Q88" s="48" t="s">
        <v>24</v>
      </c>
      <c r="R88" s="154"/>
      <c r="S88" s="160"/>
      <c r="T88" s="1">
        <v>0</v>
      </c>
      <c r="U88" s="1">
        <v>0</v>
      </c>
      <c r="V88" s="1">
        <v>0</v>
      </c>
      <c r="W88" s="1">
        <v>0</v>
      </c>
      <c r="X88" s="1">
        <f>464.5-130.1</f>
        <v>334.4</v>
      </c>
      <c r="Y88" s="1">
        <v>0</v>
      </c>
      <c r="Z88" s="1">
        <v>0</v>
      </c>
      <c r="AA88" s="53">
        <f t="shared" si="32"/>
        <v>334.4</v>
      </c>
      <c r="AB88" s="52">
        <v>2022</v>
      </c>
      <c r="AC88" s="107"/>
    </row>
    <row r="89" spans="1:34" s="62" customFormat="1" x14ac:dyDescent="0.25">
      <c r="A89" s="48" t="s">
        <v>18</v>
      </c>
      <c r="B89" s="48" t="s">
        <v>18</v>
      </c>
      <c r="C89" s="48" t="s">
        <v>22</v>
      </c>
      <c r="D89" s="48" t="s">
        <v>18</v>
      </c>
      <c r="E89" s="48" t="s">
        <v>21</v>
      </c>
      <c r="F89" s="48" t="s">
        <v>18</v>
      </c>
      <c r="G89" s="48" t="s">
        <v>22</v>
      </c>
      <c r="H89" s="48" t="s">
        <v>19</v>
      </c>
      <c r="I89" s="48" t="s">
        <v>24</v>
      </c>
      <c r="J89" s="48" t="s">
        <v>18</v>
      </c>
      <c r="K89" s="48" t="s">
        <v>18</v>
      </c>
      <c r="L89" s="48" t="s">
        <v>19</v>
      </c>
      <c r="M89" s="48" t="s">
        <v>42</v>
      </c>
      <c r="N89" s="48" t="s">
        <v>42</v>
      </c>
      <c r="O89" s="48" t="s">
        <v>42</v>
      </c>
      <c r="P89" s="48" t="s">
        <v>42</v>
      </c>
      <c r="Q89" s="48" t="s">
        <v>42</v>
      </c>
      <c r="R89" s="170"/>
      <c r="S89" s="161"/>
      <c r="T89" s="1">
        <f>2867.4-463.9-79-1000</f>
        <v>1324.5</v>
      </c>
      <c r="U89" s="1">
        <f>1867.4-227.9-273.9-31.9</f>
        <v>1333.6999999999998</v>
      </c>
      <c r="V89" s="1">
        <f>1867.4-1012.3</f>
        <v>855.10000000000014</v>
      </c>
      <c r="W89" s="1">
        <f>619.5+120.1-20.7</f>
        <v>718.9</v>
      </c>
      <c r="X89" s="1">
        <f>620.1-9.6</f>
        <v>610.5</v>
      </c>
      <c r="Y89" s="1">
        <v>619.5</v>
      </c>
      <c r="Z89" s="1">
        <f>919.5+250-147.3</f>
        <v>1022.2</v>
      </c>
      <c r="AA89" s="53">
        <f t="shared" si="32"/>
        <v>6484.4</v>
      </c>
      <c r="AB89" s="52">
        <v>2024</v>
      </c>
      <c r="AC89" s="107"/>
    </row>
    <row r="90" spans="1:34" s="45" customFormat="1" ht="47.25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138" t="s">
        <v>377</v>
      </c>
      <c r="S90" s="37" t="s">
        <v>37</v>
      </c>
      <c r="T90" s="2">
        <v>14</v>
      </c>
      <c r="U90" s="2">
        <v>14</v>
      </c>
      <c r="V90" s="2">
        <v>14</v>
      </c>
      <c r="W90" s="2">
        <v>14</v>
      </c>
      <c r="X90" s="40">
        <v>14</v>
      </c>
      <c r="Y90" s="40">
        <v>14</v>
      </c>
      <c r="Z90" s="40">
        <v>14</v>
      </c>
      <c r="AA90" s="43">
        <v>14</v>
      </c>
      <c r="AB90" s="37">
        <v>2024</v>
      </c>
      <c r="AC90" s="31"/>
    </row>
    <row r="91" spans="1:34" s="45" customFormat="1" ht="47.25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69" t="s">
        <v>378</v>
      </c>
      <c r="S91" s="146" t="s">
        <v>9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3">
        <v>100</v>
      </c>
      <c r="AA91" s="6">
        <v>100</v>
      </c>
      <c r="AB91" s="37">
        <v>2024</v>
      </c>
      <c r="AC91" s="31"/>
    </row>
    <row r="92" spans="1:34" s="62" customFormat="1" x14ac:dyDescent="0.25">
      <c r="A92" s="48" t="s">
        <v>18</v>
      </c>
      <c r="B92" s="48" t="s">
        <v>18</v>
      </c>
      <c r="C92" s="48" t="s">
        <v>24</v>
      </c>
      <c r="D92" s="48" t="s">
        <v>18</v>
      </c>
      <c r="E92" s="48" t="s">
        <v>21</v>
      </c>
      <c r="F92" s="48" t="s">
        <v>18</v>
      </c>
      <c r="G92" s="48" t="s">
        <v>22</v>
      </c>
      <c r="H92" s="48" t="s">
        <v>19</v>
      </c>
      <c r="I92" s="48" t="s">
        <v>24</v>
      </c>
      <c r="J92" s="48" t="s">
        <v>18</v>
      </c>
      <c r="K92" s="48" t="s">
        <v>18</v>
      </c>
      <c r="L92" s="48" t="s">
        <v>19</v>
      </c>
      <c r="M92" s="48" t="s">
        <v>18</v>
      </c>
      <c r="N92" s="48" t="s">
        <v>18</v>
      </c>
      <c r="O92" s="48" t="s">
        <v>18</v>
      </c>
      <c r="P92" s="48" t="s">
        <v>18</v>
      </c>
      <c r="Q92" s="48" t="s">
        <v>18</v>
      </c>
      <c r="R92" s="158" t="s">
        <v>90</v>
      </c>
      <c r="S92" s="159" t="s">
        <v>0</v>
      </c>
      <c r="T92" s="1">
        <f>SUM(T94:T100)</f>
        <v>501.8</v>
      </c>
      <c r="U92" s="1">
        <f t="shared" ref="U92:Y92" si="33">SUM(U94:U100)</f>
        <v>1483.3</v>
      </c>
      <c r="V92" s="1">
        <f t="shared" si="33"/>
        <v>1744.9</v>
      </c>
      <c r="W92" s="1">
        <f t="shared" si="33"/>
        <v>3236.9</v>
      </c>
      <c r="X92" s="1">
        <f t="shared" si="33"/>
        <v>635.20000000000005</v>
      </c>
      <c r="Y92" s="1">
        <f t="shared" si="33"/>
        <v>518.59999999999991</v>
      </c>
      <c r="Z92" s="1">
        <f>SUM(Z93:Z100)</f>
        <v>27485.7</v>
      </c>
      <c r="AA92" s="53">
        <f>SUM(T92:Z92)</f>
        <v>35606.400000000001</v>
      </c>
      <c r="AB92" s="52">
        <v>2024</v>
      </c>
      <c r="AC92" s="107"/>
    </row>
    <row r="93" spans="1:34" s="62" customFormat="1" x14ac:dyDescent="0.25">
      <c r="A93" s="48" t="s">
        <v>18</v>
      </c>
      <c r="B93" s="48" t="s">
        <v>18</v>
      </c>
      <c r="C93" s="48" t="s">
        <v>24</v>
      </c>
      <c r="D93" s="48" t="s">
        <v>18</v>
      </c>
      <c r="E93" s="48" t="s">
        <v>21</v>
      </c>
      <c r="F93" s="48" t="s">
        <v>18</v>
      </c>
      <c r="G93" s="48" t="s">
        <v>22</v>
      </c>
      <c r="H93" s="48" t="s">
        <v>19</v>
      </c>
      <c r="I93" s="48" t="s">
        <v>24</v>
      </c>
      <c r="J93" s="48" t="s">
        <v>18</v>
      </c>
      <c r="K93" s="48" t="s">
        <v>18</v>
      </c>
      <c r="L93" s="48" t="s">
        <v>19</v>
      </c>
      <c r="M93" s="48" t="s">
        <v>18</v>
      </c>
      <c r="N93" s="48" t="s">
        <v>18</v>
      </c>
      <c r="O93" s="48" t="s">
        <v>20</v>
      </c>
      <c r="P93" s="48" t="s">
        <v>161</v>
      </c>
      <c r="Q93" s="48" t="s">
        <v>18</v>
      </c>
      <c r="R93" s="158"/>
      <c r="S93" s="160"/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f>61.2+160.7</f>
        <v>221.89999999999998</v>
      </c>
      <c r="AA93" s="53">
        <f t="shared" ref="AA93:AA100" si="34">SUM(T93:Z93)</f>
        <v>221.89999999999998</v>
      </c>
      <c r="AB93" s="52">
        <v>2024</v>
      </c>
      <c r="AC93" s="107"/>
    </row>
    <row r="94" spans="1:34" s="62" customFormat="1" x14ac:dyDescent="0.25">
      <c r="A94" s="48" t="s">
        <v>18</v>
      </c>
      <c r="B94" s="48" t="s">
        <v>18</v>
      </c>
      <c r="C94" s="48" t="s">
        <v>24</v>
      </c>
      <c r="D94" s="48" t="s">
        <v>18</v>
      </c>
      <c r="E94" s="48" t="s">
        <v>21</v>
      </c>
      <c r="F94" s="48" t="s">
        <v>18</v>
      </c>
      <c r="G94" s="48" t="s">
        <v>22</v>
      </c>
      <c r="H94" s="48" t="s">
        <v>19</v>
      </c>
      <c r="I94" s="48" t="s">
        <v>24</v>
      </c>
      <c r="J94" s="48" t="s">
        <v>18</v>
      </c>
      <c r="K94" s="48" t="s">
        <v>18</v>
      </c>
      <c r="L94" s="48" t="s">
        <v>19</v>
      </c>
      <c r="M94" s="48" t="s">
        <v>19</v>
      </c>
      <c r="N94" s="48" t="s">
        <v>18</v>
      </c>
      <c r="O94" s="48" t="s">
        <v>20</v>
      </c>
      <c r="P94" s="48" t="s">
        <v>161</v>
      </c>
      <c r="Q94" s="48" t="s">
        <v>18</v>
      </c>
      <c r="R94" s="158"/>
      <c r="S94" s="160"/>
      <c r="T94" s="1">
        <v>0</v>
      </c>
      <c r="U94" s="1">
        <v>685.2</v>
      </c>
      <c r="V94" s="1">
        <v>0</v>
      </c>
      <c r="W94" s="1">
        <v>0</v>
      </c>
      <c r="X94" s="1">
        <v>0</v>
      </c>
      <c r="Y94" s="1">
        <v>0</v>
      </c>
      <c r="Z94" s="1">
        <v>21196.400000000001</v>
      </c>
      <c r="AA94" s="53">
        <f t="shared" si="34"/>
        <v>21881.600000000002</v>
      </c>
      <c r="AB94" s="52">
        <v>2024</v>
      </c>
      <c r="AC94" s="107"/>
    </row>
    <row r="95" spans="1:34" s="62" customFormat="1" x14ac:dyDescent="0.25">
      <c r="A95" s="48" t="s">
        <v>18</v>
      </c>
      <c r="B95" s="48" t="s">
        <v>18</v>
      </c>
      <c r="C95" s="48" t="s">
        <v>24</v>
      </c>
      <c r="D95" s="48" t="s">
        <v>18</v>
      </c>
      <c r="E95" s="48" t="s">
        <v>21</v>
      </c>
      <c r="F95" s="48" t="s">
        <v>18</v>
      </c>
      <c r="G95" s="48" t="s">
        <v>22</v>
      </c>
      <c r="H95" s="48" t="s">
        <v>19</v>
      </c>
      <c r="I95" s="48" t="s">
        <v>24</v>
      </c>
      <c r="J95" s="48" t="s">
        <v>18</v>
      </c>
      <c r="K95" s="48" t="s">
        <v>18</v>
      </c>
      <c r="L95" s="48" t="s">
        <v>19</v>
      </c>
      <c r="M95" s="48" t="s">
        <v>36</v>
      </c>
      <c r="N95" s="48" t="s">
        <v>18</v>
      </c>
      <c r="O95" s="48" t="s">
        <v>20</v>
      </c>
      <c r="P95" s="48" t="s">
        <v>161</v>
      </c>
      <c r="Q95" s="48" t="s">
        <v>18</v>
      </c>
      <c r="R95" s="158"/>
      <c r="S95" s="160"/>
      <c r="T95" s="1">
        <v>0</v>
      </c>
      <c r="U95" s="1">
        <f>685.2-212.4</f>
        <v>472.80000000000007</v>
      </c>
      <c r="V95" s="1">
        <v>0</v>
      </c>
      <c r="W95" s="1">
        <v>0</v>
      </c>
      <c r="X95" s="1">
        <v>0</v>
      </c>
      <c r="Y95" s="1">
        <v>0</v>
      </c>
      <c r="Z95" s="1">
        <v>5299.1</v>
      </c>
      <c r="AA95" s="53">
        <f t="shared" si="34"/>
        <v>5771.9000000000005</v>
      </c>
      <c r="AB95" s="52">
        <v>2024</v>
      </c>
      <c r="AC95" s="107"/>
    </row>
    <row r="96" spans="1:34" s="62" customFormat="1" x14ac:dyDescent="0.25">
      <c r="A96" s="48" t="s">
        <v>18</v>
      </c>
      <c r="B96" s="48" t="s">
        <v>18</v>
      </c>
      <c r="C96" s="48" t="s">
        <v>24</v>
      </c>
      <c r="D96" s="48" t="s">
        <v>18</v>
      </c>
      <c r="E96" s="48" t="s">
        <v>21</v>
      </c>
      <c r="F96" s="48" t="s">
        <v>18</v>
      </c>
      <c r="G96" s="48" t="s">
        <v>22</v>
      </c>
      <c r="H96" s="48" t="s">
        <v>19</v>
      </c>
      <c r="I96" s="48" t="s">
        <v>24</v>
      </c>
      <c r="J96" s="48" t="s">
        <v>18</v>
      </c>
      <c r="K96" s="48" t="s">
        <v>18</v>
      </c>
      <c r="L96" s="48" t="s">
        <v>19</v>
      </c>
      <c r="M96" s="48" t="s">
        <v>19</v>
      </c>
      <c r="N96" s="48" t="s">
        <v>18</v>
      </c>
      <c r="O96" s="48" t="s">
        <v>23</v>
      </c>
      <c r="P96" s="48" t="s">
        <v>19</v>
      </c>
      <c r="Q96" s="48" t="s">
        <v>19</v>
      </c>
      <c r="R96" s="158"/>
      <c r="S96" s="160"/>
      <c r="T96" s="1">
        <v>0</v>
      </c>
      <c r="U96" s="1">
        <v>0</v>
      </c>
      <c r="V96" s="1">
        <v>1100</v>
      </c>
      <c r="W96" s="1">
        <f>0+2308.5</f>
        <v>2308.5</v>
      </c>
      <c r="X96" s="1">
        <v>0</v>
      </c>
      <c r="Y96" s="1">
        <v>0</v>
      </c>
      <c r="Z96" s="1">
        <v>0</v>
      </c>
      <c r="AA96" s="53">
        <f t="shared" si="34"/>
        <v>3408.5</v>
      </c>
      <c r="AB96" s="52">
        <v>2021</v>
      </c>
      <c r="AC96" s="107"/>
    </row>
    <row r="97" spans="1:31" s="62" customFormat="1" x14ac:dyDescent="0.25">
      <c r="A97" s="48" t="s">
        <v>18</v>
      </c>
      <c r="B97" s="48" t="s">
        <v>18</v>
      </c>
      <c r="C97" s="48" t="s">
        <v>24</v>
      </c>
      <c r="D97" s="48" t="s">
        <v>18</v>
      </c>
      <c r="E97" s="48" t="s">
        <v>21</v>
      </c>
      <c r="F97" s="48" t="s">
        <v>18</v>
      </c>
      <c r="G97" s="48" t="s">
        <v>22</v>
      </c>
      <c r="H97" s="48" t="s">
        <v>19</v>
      </c>
      <c r="I97" s="48" t="s">
        <v>24</v>
      </c>
      <c r="J97" s="48" t="s">
        <v>18</v>
      </c>
      <c r="K97" s="48" t="s">
        <v>18</v>
      </c>
      <c r="L97" s="48" t="s">
        <v>19</v>
      </c>
      <c r="M97" s="48" t="s">
        <v>36</v>
      </c>
      <c r="N97" s="48" t="s">
        <v>18</v>
      </c>
      <c r="O97" s="48" t="s">
        <v>23</v>
      </c>
      <c r="P97" s="48" t="s">
        <v>19</v>
      </c>
      <c r="Q97" s="48" t="s">
        <v>19</v>
      </c>
      <c r="R97" s="158"/>
      <c r="S97" s="160"/>
      <c r="T97" s="1">
        <v>0</v>
      </c>
      <c r="U97" s="1">
        <v>0</v>
      </c>
      <c r="V97" s="1">
        <f>149.5-11</f>
        <v>138.5</v>
      </c>
      <c r="W97" s="1">
        <f>0+393.6-49.2</f>
        <v>344.40000000000003</v>
      </c>
      <c r="X97" s="1">
        <v>0</v>
      </c>
      <c r="Y97" s="1">
        <v>0</v>
      </c>
      <c r="Z97" s="1">
        <v>0</v>
      </c>
      <c r="AA97" s="53">
        <f t="shared" si="34"/>
        <v>482.90000000000003</v>
      </c>
      <c r="AB97" s="52">
        <v>2021</v>
      </c>
      <c r="AC97" s="107"/>
    </row>
    <row r="98" spans="1:31" s="62" customFormat="1" ht="15.75" hidden="1" customHeight="1" x14ac:dyDescent="0.25">
      <c r="A98" s="48" t="s">
        <v>18</v>
      </c>
      <c r="B98" s="48" t="s">
        <v>18</v>
      </c>
      <c r="C98" s="48" t="s">
        <v>24</v>
      </c>
      <c r="D98" s="48" t="s">
        <v>18</v>
      </c>
      <c r="E98" s="48" t="s">
        <v>21</v>
      </c>
      <c r="F98" s="48" t="s">
        <v>18</v>
      </c>
      <c r="G98" s="48" t="s">
        <v>22</v>
      </c>
      <c r="H98" s="48" t="s">
        <v>19</v>
      </c>
      <c r="I98" s="48" t="s">
        <v>24</v>
      </c>
      <c r="J98" s="48" t="s">
        <v>18</v>
      </c>
      <c r="K98" s="48" t="s">
        <v>18</v>
      </c>
      <c r="L98" s="48" t="s">
        <v>19</v>
      </c>
      <c r="M98" s="48" t="s">
        <v>18</v>
      </c>
      <c r="N98" s="48" t="s">
        <v>18</v>
      </c>
      <c r="O98" s="48" t="s">
        <v>23</v>
      </c>
      <c r="P98" s="48" t="s">
        <v>19</v>
      </c>
      <c r="Q98" s="48" t="s">
        <v>21</v>
      </c>
      <c r="R98" s="158"/>
      <c r="S98" s="160"/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f>0+61.2-61.2</f>
        <v>0</v>
      </c>
      <c r="Z98" s="1">
        <v>0</v>
      </c>
      <c r="AA98" s="53">
        <f t="shared" si="34"/>
        <v>0</v>
      </c>
      <c r="AB98" s="52">
        <v>2023</v>
      </c>
      <c r="AC98" s="107"/>
    </row>
    <row r="99" spans="1:31" s="62" customFormat="1" ht="15.75" hidden="1" customHeight="1" x14ac:dyDescent="0.25">
      <c r="A99" s="48" t="s">
        <v>18</v>
      </c>
      <c r="B99" s="48" t="s">
        <v>18</v>
      </c>
      <c r="C99" s="48" t="s">
        <v>24</v>
      </c>
      <c r="D99" s="48" t="s">
        <v>18</v>
      </c>
      <c r="E99" s="48" t="s">
        <v>21</v>
      </c>
      <c r="F99" s="48" t="s">
        <v>18</v>
      </c>
      <c r="G99" s="48" t="s">
        <v>22</v>
      </c>
      <c r="H99" s="48" t="s">
        <v>19</v>
      </c>
      <c r="I99" s="48" t="s">
        <v>24</v>
      </c>
      <c r="J99" s="48" t="s">
        <v>18</v>
      </c>
      <c r="K99" s="48" t="s">
        <v>18</v>
      </c>
      <c r="L99" s="48" t="s">
        <v>19</v>
      </c>
      <c r="M99" s="48" t="s">
        <v>36</v>
      </c>
      <c r="N99" s="48" t="s">
        <v>18</v>
      </c>
      <c r="O99" s="48" t="s">
        <v>23</v>
      </c>
      <c r="P99" s="48" t="s">
        <v>19</v>
      </c>
      <c r="Q99" s="48" t="s">
        <v>21</v>
      </c>
      <c r="R99" s="158"/>
      <c r="S99" s="160"/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f>0+286-286</f>
        <v>0</v>
      </c>
      <c r="Z99" s="1">
        <v>0</v>
      </c>
      <c r="AA99" s="53">
        <f t="shared" si="34"/>
        <v>0</v>
      </c>
      <c r="AB99" s="52">
        <v>2023</v>
      </c>
      <c r="AC99" s="107"/>
    </row>
    <row r="100" spans="1:31" s="62" customFormat="1" x14ac:dyDescent="0.25">
      <c r="A100" s="48" t="s">
        <v>18</v>
      </c>
      <c r="B100" s="48" t="s">
        <v>18</v>
      </c>
      <c r="C100" s="48" t="s">
        <v>24</v>
      </c>
      <c r="D100" s="48" t="s">
        <v>18</v>
      </c>
      <c r="E100" s="48" t="s">
        <v>21</v>
      </c>
      <c r="F100" s="48" t="s">
        <v>18</v>
      </c>
      <c r="G100" s="48" t="s">
        <v>22</v>
      </c>
      <c r="H100" s="48" t="s">
        <v>19</v>
      </c>
      <c r="I100" s="48" t="s">
        <v>24</v>
      </c>
      <c r="J100" s="48" t="s">
        <v>18</v>
      </c>
      <c r="K100" s="48" t="s">
        <v>18</v>
      </c>
      <c r="L100" s="48" t="s">
        <v>19</v>
      </c>
      <c r="M100" s="48" t="s">
        <v>42</v>
      </c>
      <c r="N100" s="48" t="s">
        <v>42</v>
      </c>
      <c r="O100" s="48" t="s">
        <v>42</v>
      </c>
      <c r="P100" s="48" t="s">
        <v>42</v>
      </c>
      <c r="Q100" s="48" t="s">
        <v>42</v>
      </c>
      <c r="R100" s="158"/>
      <c r="S100" s="161"/>
      <c r="T100" s="1">
        <v>501.8</v>
      </c>
      <c r="U100" s="1">
        <v>325.3</v>
      </c>
      <c r="V100" s="1">
        <f>870.5-149.5-214.6</f>
        <v>506.4</v>
      </c>
      <c r="W100" s="1">
        <f>870.5-335.7+49.2</f>
        <v>584</v>
      </c>
      <c r="X100" s="1">
        <v>635.20000000000005</v>
      </c>
      <c r="Y100" s="1">
        <f>870.5-61.2-286-4.7</f>
        <v>518.59999999999991</v>
      </c>
      <c r="Z100" s="1">
        <f>870.5-61.2-41</f>
        <v>768.3</v>
      </c>
      <c r="AA100" s="53">
        <f t="shared" si="34"/>
        <v>3839.5999999999995</v>
      </c>
      <c r="AB100" s="52">
        <v>2024</v>
      </c>
      <c r="AC100" s="107"/>
    </row>
    <row r="101" spans="1:31" s="45" customFormat="1" ht="46.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138" t="s">
        <v>379</v>
      </c>
      <c r="S101" s="37" t="s">
        <v>37</v>
      </c>
      <c r="T101" s="2">
        <v>1</v>
      </c>
      <c r="U101" s="2">
        <v>1</v>
      </c>
      <c r="V101" s="40">
        <v>1</v>
      </c>
      <c r="W101" s="2">
        <v>1</v>
      </c>
      <c r="X101" s="2">
        <v>1</v>
      </c>
      <c r="Y101" s="2">
        <v>1</v>
      </c>
      <c r="Z101" s="2">
        <v>1</v>
      </c>
      <c r="AA101" s="41">
        <v>1</v>
      </c>
      <c r="AB101" s="37">
        <v>2024</v>
      </c>
      <c r="AC101" s="114"/>
      <c r="AD101" s="96"/>
      <c r="AE101" s="44"/>
    </row>
    <row r="102" spans="1:31" s="45" customFormat="1" ht="46.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69" t="s">
        <v>380</v>
      </c>
      <c r="S102" s="146" t="s">
        <v>9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3">
        <v>100</v>
      </c>
      <c r="AA102" s="6">
        <v>100</v>
      </c>
      <c r="AB102" s="37">
        <v>2024</v>
      </c>
      <c r="AC102" s="147"/>
      <c r="AD102" s="96"/>
      <c r="AE102" s="44"/>
    </row>
    <row r="103" spans="1:31" s="45" customFormat="1" ht="63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69" t="s">
        <v>381</v>
      </c>
      <c r="S103" s="146" t="s">
        <v>9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3">
        <v>100</v>
      </c>
      <c r="AA103" s="6">
        <v>100</v>
      </c>
      <c r="AB103" s="37">
        <v>2024</v>
      </c>
      <c r="AC103" s="147"/>
      <c r="AD103" s="96"/>
      <c r="AE103" s="44"/>
    </row>
    <row r="104" spans="1:31" s="62" customFormat="1" x14ac:dyDescent="0.25">
      <c r="A104" s="48" t="s">
        <v>18</v>
      </c>
      <c r="B104" s="48" t="s">
        <v>18</v>
      </c>
      <c r="C104" s="48" t="s">
        <v>21</v>
      </c>
      <c r="D104" s="48" t="s">
        <v>18</v>
      </c>
      <c r="E104" s="48" t="s">
        <v>21</v>
      </c>
      <c r="F104" s="48" t="s">
        <v>18</v>
      </c>
      <c r="G104" s="48" t="s">
        <v>22</v>
      </c>
      <c r="H104" s="48" t="s">
        <v>19</v>
      </c>
      <c r="I104" s="48" t="s">
        <v>24</v>
      </c>
      <c r="J104" s="48" t="s">
        <v>18</v>
      </c>
      <c r="K104" s="48" t="s">
        <v>18</v>
      </c>
      <c r="L104" s="48" t="s">
        <v>19</v>
      </c>
      <c r="M104" s="48" t="s">
        <v>18</v>
      </c>
      <c r="N104" s="48" t="s">
        <v>18</v>
      </c>
      <c r="O104" s="48" t="s">
        <v>18</v>
      </c>
      <c r="P104" s="48" t="s">
        <v>18</v>
      </c>
      <c r="Q104" s="48" t="s">
        <v>18</v>
      </c>
      <c r="R104" s="153" t="s">
        <v>91</v>
      </c>
      <c r="S104" s="159" t="s">
        <v>0</v>
      </c>
      <c r="T104" s="1">
        <f t="shared" ref="T104:Y104" si="35">T107+T108+T109</f>
        <v>2096.2999999999997</v>
      </c>
      <c r="U104" s="1">
        <f t="shared" si="35"/>
        <v>2084.3000000000002</v>
      </c>
      <c r="V104" s="1">
        <f t="shared" si="35"/>
        <v>3027.7999999999997</v>
      </c>
      <c r="W104" s="1">
        <f t="shared" si="35"/>
        <v>1511.5</v>
      </c>
      <c r="X104" s="1">
        <f t="shared" si="35"/>
        <v>1365.7</v>
      </c>
      <c r="Y104" s="1">
        <f t="shared" si="35"/>
        <v>1109</v>
      </c>
      <c r="Z104" s="1">
        <f>SUM(Z105:Z109)</f>
        <v>7120.7000000000007</v>
      </c>
      <c r="AA104" s="53">
        <f>SUM(T104:Z104)</f>
        <v>18315.300000000003</v>
      </c>
      <c r="AB104" s="52">
        <v>2024</v>
      </c>
      <c r="AC104" s="107"/>
    </row>
    <row r="105" spans="1:31" s="62" customFormat="1" x14ac:dyDescent="0.25">
      <c r="A105" s="48" t="s">
        <v>18</v>
      </c>
      <c r="B105" s="48" t="s">
        <v>18</v>
      </c>
      <c r="C105" s="48" t="s">
        <v>21</v>
      </c>
      <c r="D105" s="48" t="s">
        <v>18</v>
      </c>
      <c r="E105" s="48" t="s">
        <v>21</v>
      </c>
      <c r="F105" s="48" t="s">
        <v>18</v>
      </c>
      <c r="G105" s="48" t="s">
        <v>22</v>
      </c>
      <c r="H105" s="48" t="s">
        <v>19</v>
      </c>
      <c r="I105" s="48" t="s">
        <v>24</v>
      </c>
      <c r="J105" s="48" t="s">
        <v>18</v>
      </c>
      <c r="K105" s="48" t="s">
        <v>18</v>
      </c>
      <c r="L105" s="48" t="s">
        <v>19</v>
      </c>
      <c r="M105" s="48" t="s">
        <v>19</v>
      </c>
      <c r="N105" s="48" t="s">
        <v>18</v>
      </c>
      <c r="O105" s="48" t="s">
        <v>20</v>
      </c>
      <c r="P105" s="48" t="s">
        <v>161</v>
      </c>
      <c r="Q105" s="48" t="s">
        <v>18</v>
      </c>
      <c r="R105" s="154"/>
      <c r="S105" s="160"/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4435</v>
      </c>
      <c r="AA105" s="53">
        <f t="shared" ref="AA105:AA106" si="36">SUM(T105:Z105)</f>
        <v>4435</v>
      </c>
      <c r="AB105" s="52">
        <v>2024</v>
      </c>
      <c r="AC105" s="107"/>
    </row>
    <row r="106" spans="1:31" s="62" customFormat="1" x14ac:dyDescent="0.25">
      <c r="A106" s="48" t="s">
        <v>18</v>
      </c>
      <c r="B106" s="48" t="s">
        <v>18</v>
      </c>
      <c r="C106" s="48" t="s">
        <v>21</v>
      </c>
      <c r="D106" s="48" t="s">
        <v>18</v>
      </c>
      <c r="E106" s="48" t="s">
        <v>21</v>
      </c>
      <c r="F106" s="48" t="s">
        <v>18</v>
      </c>
      <c r="G106" s="48" t="s">
        <v>22</v>
      </c>
      <c r="H106" s="48" t="s">
        <v>19</v>
      </c>
      <c r="I106" s="48" t="s">
        <v>24</v>
      </c>
      <c r="J106" s="48" t="s">
        <v>18</v>
      </c>
      <c r="K106" s="48" t="s">
        <v>18</v>
      </c>
      <c r="L106" s="48" t="s">
        <v>19</v>
      </c>
      <c r="M106" s="48" t="s">
        <v>36</v>
      </c>
      <c r="N106" s="48" t="s">
        <v>18</v>
      </c>
      <c r="O106" s="48" t="s">
        <v>20</v>
      </c>
      <c r="P106" s="48" t="s">
        <v>161</v>
      </c>
      <c r="Q106" s="48" t="s">
        <v>18</v>
      </c>
      <c r="R106" s="154"/>
      <c r="S106" s="160"/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f>1108.7-25.6</f>
        <v>1083.1000000000001</v>
      </c>
      <c r="AA106" s="53">
        <f t="shared" si="36"/>
        <v>1083.1000000000001</v>
      </c>
      <c r="AB106" s="52">
        <v>2024</v>
      </c>
      <c r="AC106" s="107"/>
    </row>
    <row r="107" spans="1:31" s="62" customFormat="1" x14ac:dyDescent="0.25">
      <c r="A107" s="48" t="s">
        <v>18</v>
      </c>
      <c r="B107" s="48" t="s">
        <v>18</v>
      </c>
      <c r="C107" s="48" t="s">
        <v>21</v>
      </c>
      <c r="D107" s="48" t="s">
        <v>18</v>
      </c>
      <c r="E107" s="48" t="s">
        <v>21</v>
      </c>
      <c r="F107" s="48" t="s">
        <v>18</v>
      </c>
      <c r="G107" s="48" t="s">
        <v>22</v>
      </c>
      <c r="H107" s="48" t="s">
        <v>19</v>
      </c>
      <c r="I107" s="48" t="s">
        <v>24</v>
      </c>
      <c r="J107" s="48" t="s">
        <v>18</v>
      </c>
      <c r="K107" s="48" t="s">
        <v>18</v>
      </c>
      <c r="L107" s="48" t="s">
        <v>19</v>
      </c>
      <c r="M107" s="48" t="s">
        <v>19</v>
      </c>
      <c r="N107" s="48" t="s">
        <v>18</v>
      </c>
      <c r="O107" s="48" t="s">
        <v>23</v>
      </c>
      <c r="P107" s="48" t="s">
        <v>19</v>
      </c>
      <c r="Q107" s="48" t="s">
        <v>20</v>
      </c>
      <c r="R107" s="154"/>
      <c r="S107" s="160"/>
      <c r="T107" s="1">
        <v>0</v>
      </c>
      <c r="U107" s="1">
        <v>0</v>
      </c>
      <c r="V107" s="1">
        <v>1100</v>
      </c>
      <c r="W107" s="1">
        <v>0</v>
      </c>
      <c r="X107" s="1">
        <v>0</v>
      </c>
      <c r="Y107" s="1">
        <v>0</v>
      </c>
      <c r="Z107" s="1">
        <v>0</v>
      </c>
      <c r="AA107" s="53">
        <f t="shared" ref="AA107:AA109" si="37">SUM(T107:Z107)</f>
        <v>1100</v>
      </c>
      <c r="AB107" s="52">
        <v>2020</v>
      </c>
      <c r="AC107" s="107"/>
    </row>
    <row r="108" spans="1:31" s="62" customFormat="1" x14ac:dyDescent="0.25">
      <c r="A108" s="48" t="s">
        <v>18</v>
      </c>
      <c r="B108" s="48" t="s">
        <v>18</v>
      </c>
      <c r="C108" s="48" t="s">
        <v>21</v>
      </c>
      <c r="D108" s="48" t="s">
        <v>18</v>
      </c>
      <c r="E108" s="48" t="s">
        <v>21</v>
      </c>
      <c r="F108" s="48" t="s">
        <v>18</v>
      </c>
      <c r="G108" s="48" t="s">
        <v>22</v>
      </c>
      <c r="H108" s="48" t="s">
        <v>19</v>
      </c>
      <c r="I108" s="48" t="s">
        <v>24</v>
      </c>
      <c r="J108" s="48" t="s">
        <v>18</v>
      </c>
      <c r="K108" s="48" t="s">
        <v>18</v>
      </c>
      <c r="L108" s="48" t="s">
        <v>19</v>
      </c>
      <c r="M108" s="48" t="s">
        <v>36</v>
      </c>
      <c r="N108" s="48" t="s">
        <v>18</v>
      </c>
      <c r="O108" s="48" t="s">
        <v>23</v>
      </c>
      <c r="P108" s="48" t="s">
        <v>19</v>
      </c>
      <c r="Q108" s="48" t="s">
        <v>20</v>
      </c>
      <c r="R108" s="154"/>
      <c r="S108" s="160"/>
      <c r="T108" s="1">
        <v>0</v>
      </c>
      <c r="U108" s="1">
        <v>0</v>
      </c>
      <c r="V108" s="1">
        <f>111-71.5</f>
        <v>39.5</v>
      </c>
      <c r="W108" s="1">
        <v>0</v>
      </c>
      <c r="X108" s="1">
        <v>0</v>
      </c>
      <c r="Y108" s="1">
        <v>0</v>
      </c>
      <c r="Z108" s="1">
        <v>0</v>
      </c>
      <c r="AA108" s="53">
        <f t="shared" si="37"/>
        <v>39.5</v>
      </c>
      <c r="AB108" s="52">
        <v>2020</v>
      </c>
      <c r="AC108" s="107"/>
    </row>
    <row r="109" spans="1:31" s="62" customFormat="1" x14ac:dyDescent="0.25">
      <c r="A109" s="48" t="s">
        <v>18</v>
      </c>
      <c r="B109" s="48" t="s">
        <v>18</v>
      </c>
      <c r="C109" s="48" t="s">
        <v>21</v>
      </c>
      <c r="D109" s="48" t="s">
        <v>18</v>
      </c>
      <c r="E109" s="48" t="s">
        <v>21</v>
      </c>
      <c r="F109" s="48" t="s">
        <v>18</v>
      </c>
      <c r="G109" s="48" t="s">
        <v>22</v>
      </c>
      <c r="H109" s="48" t="s">
        <v>19</v>
      </c>
      <c r="I109" s="48" t="s">
        <v>24</v>
      </c>
      <c r="J109" s="48" t="s">
        <v>18</v>
      </c>
      <c r="K109" s="48" t="s">
        <v>18</v>
      </c>
      <c r="L109" s="48" t="s">
        <v>19</v>
      </c>
      <c r="M109" s="48" t="s">
        <v>42</v>
      </c>
      <c r="N109" s="48" t="s">
        <v>42</v>
      </c>
      <c r="O109" s="48" t="s">
        <v>42</v>
      </c>
      <c r="P109" s="48" t="s">
        <v>42</v>
      </c>
      <c r="Q109" s="48" t="s">
        <v>42</v>
      </c>
      <c r="R109" s="170"/>
      <c r="S109" s="161"/>
      <c r="T109" s="1">
        <f>3665-832.4-710-26.3</f>
        <v>2096.2999999999997</v>
      </c>
      <c r="U109" s="1">
        <f>3624.7-120.3-282.1-1110.8-27.2</f>
        <v>2084.3000000000002</v>
      </c>
      <c r="V109" s="1">
        <f>3624.7-553-111-1072.4</f>
        <v>1888.2999999999997</v>
      </c>
      <c r="W109" s="1">
        <f>1555.3-43.8</f>
        <v>1511.5</v>
      </c>
      <c r="X109" s="1">
        <f>1555.3+120-264.9-44.7</f>
        <v>1365.7</v>
      </c>
      <c r="Y109" s="1">
        <f>1555.3-446.3</f>
        <v>1109</v>
      </c>
      <c r="Z109" s="1">
        <f>1555.3+47.3</f>
        <v>1602.6</v>
      </c>
      <c r="AA109" s="53">
        <f t="shared" si="37"/>
        <v>11657.7</v>
      </c>
      <c r="AB109" s="52">
        <v>2024</v>
      </c>
      <c r="AC109" s="107"/>
    </row>
    <row r="110" spans="1:31" s="62" customFormat="1" ht="47.25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138" t="s">
        <v>382</v>
      </c>
      <c r="S110" s="37" t="s">
        <v>37</v>
      </c>
      <c r="T110" s="40">
        <v>5</v>
      </c>
      <c r="U110" s="40">
        <v>5</v>
      </c>
      <c r="V110" s="40">
        <v>5</v>
      </c>
      <c r="W110" s="40">
        <v>5</v>
      </c>
      <c r="X110" s="40">
        <v>5</v>
      </c>
      <c r="Y110" s="40">
        <v>5</v>
      </c>
      <c r="Z110" s="40">
        <v>5</v>
      </c>
      <c r="AA110" s="43">
        <v>5</v>
      </c>
      <c r="AB110" s="37">
        <v>2024</v>
      </c>
      <c r="AC110" s="110"/>
      <c r="AD110" s="96"/>
    </row>
    <row r="111" spans="1:31" s="62" customFormat="1" ht="30.7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69" t="s">
        <v>383</v>
      </c>
      <c r="S111" s="146" t="s">
        <v>9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3">
        <v>100</v>
      </c>
      <c r="AA111" s="6">
        <v>100</v>
      </c>
      <c r="AB111" s="37">
        <v>2024</v>
      </c>
      <c r="AC111" s="125"/>
      <c r="AD111" s="96"/>
    </row>
    <row r="112" spans="1:31" s="62" customFormat="1" ht="31.5" x14ac:dyDescent="0.25">
      <c r="A112" s="48"/>
      <c r="B112" s="48"/>
      <c r="C112" s="48"/>
      <c r="D112" s="48" t="s">
        <v>18</v>
      </c>
      <c r="E112" s="48" t="s">
        <v>21</v>
      </c>
      <c r="F112" s="48" t="s">
        <v>18</v>
      </c>
      <c r="G112" s="48" t="s">
        <v>22</v>
      </c>
      <c r="H112" s="48" t="s">
        <v>19</v>
      </c>
      <c r="I112" s="48" t="s">
        <v>24</v>
      </c>
      <c r="J112" s="48" t="s">
        <v>18</v>
      </c>
      <c r="K112" s="48" t="s">
        <v>18</v>
      </c>
      <c r="L112" s="48" t="s">
        <v>19</v>
      </c>
      <c r="M112" s="48" t="s">
        <v>42</v>
      </c>
      <c r="N112" s="48" t="s">
        <v>42</v>
      </c>
      <c r="O112" s="48" t="s">
        <v>42</v>
      </c>
      <c r="P112" s="48" t="s">
        <v>42</v>
      </c>
      <c r="Q112" s="48" t="s">
        <v>42</v>
      </c>
      <c r="R112" s="66" t="s">
        <v>92</v>
      </c>
      <c r="S112" s="52" t="s">
        <v>0</v>
      </c>
      <c r="T112" s="53">
        <f t="shared" ref="T112:Y112" si="38">T116+T120+T124+T128+T132</f>
        <v>4566.3999999999996</v>
      </c>
      <c r="U112" s="53">
        <f>U116+U120+U124+U128+U132</f>
        <v>7525.4000000000005</v>
      </c>
      <c r="V112" s="53">
        <f t="shared" si="38"/>
        <v>8494.6</v>
      </c>
      <c r="W112" s="53">
        <f t="shared" si="38"/>
        <v>11214.1</v>
      </c>
      <c r="X112" s="53">
        <f t="shared" si="38"/>
        <v>6349</v>
      </c>
      <c r="Y112" s="53">
        <f t="shared" si="38"/>
        <v>7800.2000000000007</v>
      </c>
      <c r="Z112" s="53">
        <f t="shared" ref="Z112" si="39">Z116+Z120+Z124+Z128+Z132</f>
        <v>8497.1</v>
      </c>
      <c r="AA112" s="53">
        <f>SUM(T112:Z112)</f>
        <v>54446.799999999996</v>
      </c>
      <c r="AB112" s="52">
        <v>2024</v>
      </c>
      <c r="AC112" s="107"/>
    </row>
    <row r="113" spans="1:30" s="62" customFormat="1" ht="30.7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142" t="s">
        <v>93</v>
      </c>
      <c r="S113" s="151" t="s">
        <v>37</v>
      </c>
      <c r="T113" s="40">
        <f t="shared" ref="T113:Y114" si="40">T117+T121+T125+T129</f>
        <v>65</v>
      </c>
      <c r="U113" s="40">
        <f t="shared" si="40"/>
        <v>198</v>
      </c>
      <c r="V113" s="40">
        <f t="shared" si="40"/>
        <v>310</v>
      </c>
      <c r="W113" s="40">
        <f t="shared" si="40"/>
        <v>136</v>
      </c>
      <c r="X113" s="40">
        <f t="shared" si="40"/>
        <v>98</v>
      </c>
      <c r="Y113" s="40">
        <f t="shared" si="40"/>
        <v>158</v>
      </c>
      <c r="Z113" s="40">
        <f t="shared" ref="Z113" si="41">Z117+Z121+Z125+Z129</f>
        <v>119</v>
      </c>
      <c r="AA113" s="43">
        <f>SUM(T113:Z113)</f>
        <v>1084</v>
      </c>
      <c r="AB113" s="151">
        <v>2024</v>
      </c>
      <c r="AC113" s="31"/>
    </row>
    <row r="114" spans="1:30" s="62" customFormat="1" ht="31.5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69" t="s">
        <v>94</v>
      </c>
      <c r="S114" s="151" t="s">
        <v>37</v>
      </c>
      <c r="T114" s="40">
        <f t="shared" si="40"/>
        <v>16</v>
      </c>
      <c r="U114" s="40">
        <f t="shared" si="40"/>
        <v>16</v>
      </c>
      <c r="V114" s="40">
        <f t="shared" si="40"/>
        <v>19</v>
      </c>
      <c r="W114" s="40">
        <f t="shared" si="40"/>
        <v>18</v>
      </c>
      <c r="X114" s="40">
        <f t="shared" si="40"/>
        <v>17</v>
      </c>
      <c r="Y114" s="40">
        <f t="shared" si="40"/>
        <v>18</v>
      </c>
      <c r="Z114" s="40">
        <f t="shared" ref="Z114" si="42">Z118+Z122+Z126+Z130</f>
        <v>18</v>
      </c>
      <c r="AA114" s="43">
        <f>Z114</f>
        <v>18</v>
      </c>
      <c r="AB114" s="151">
        <v>2024</v>
      </c>
      <c r="AC114" s="31"/>
    </row>
    <row r="115" spans="1:30" ht="46.9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69" t="s">
        <v>282</v>
      </c>
      <c r="S115" s="151" t="s">
        <v>37</v>
      </c>
      <c r="T115" s="40">
        <f>T119+T123+T127+T133+T131</f>
        <v>25</v>
      </c>
      <c r="U115" s="40">
        <f>U119+U123+U127+U133+U131</f>
        <v>77</v>
      </c>
      <c r="V115" s="40">
        <f>V119+V123+V127+V133+V131</f>
        <v>74</v>
      </c>
      <c r="W115" s="40">
        <f t="shared" ref="W115:Y115" si="43">W119+W123+W127+W133+W131</f>
        <v>63</v>
      </c>
      <c r="X115" s="40">
        <f t="shared" si="43"/>
        <v>60</v>
      </c>
      <c r="Y115" s="40">
        <f t="shared" si="43"/>
        <v>27</v>
      </c>
      <c r="Z115" s="40">
        <f t="shared" ref="Z115" si="44">Z119+Z123+Z127+Z133+Z131</f>
        <v>100</v>
      </c>
      <c r="AA115" s="43">
        <f>SUM(T115:Z115)</f>
        <v>426</v>
      </c>
      <c r="AB115" s="151">
        <v>2024</v>
      </c>
      <c r="AC115" s="110"/>
      <c r="AD115" s="89"/>
    </row>
    <row r="116" spans="1:30" ht="31.5" x14ac:dyDescent="0.25">
      <c r="A116" s="48" t="s">
        <v>18</v>
      </c>
      <c r="B116" s="48" t="s">
        <v>18</v>
      </c>
      <c r="C116" s="48" t="s">
        <v>22</v>
      </c>
      <c r="D116" s="48" t="s">
        <v>18</v>
      </c>
      <c r="E116" s="48" t="s">
        <v>21</v>
      </c>
      <c r="F116" s="48" t="s">
        <v>18</v>
      </c>
      <c r="G116" s="48" t="s">
        <v>22</v>
      </c>
      <c r="H116" s="48" t="s">
        <v>19</v>
      </c>
      <c r="I116" s="48" t="s">
        <v>24</v>
      </c>
      <c r="J116" s="48" t="s">
        <v>18</v>
      </c>
      <c r="K116" s="48" t="s">
        <v>18</v>
      </c>
      <c r="L116" s="48" t="s">
        <v>19</v>
      </c>
      <c r="M116" s="48" t="s">
        <v>42</v>
      </c>
      <c r="N116" s="48" t="s">
        <v>42</v>
      </c>
      <c r="O116" s="48" t="s">
        <v>42</v>
      </c>
      <c r="P116" s="48" t="s">
        <v>42</v>
      </c>
      <c r="Q116" s="48" t="s">
        <v>42</v>
      </c>
      <c r="R116" s="150" t="s">
        <v>95</v>
      </c>
      <c r="S116" s="49" t="s">
        <v>0</v>
      </c>
      <c r="T116" s="1">
        <f>1780.9-223.4+140-15.2</f>
        <v>1682.3</v>
      </c>
      <c r="U116" s="1">
        <f>1650-73+745.2</f>
        <v>2322.1999999999998</v>
      </c>
      <c r="V116" s="1">
        <v>1650</v>
      </c>
      <c r="W116" s="1">
        <f>1500+855.8+1378.8-389.3</f>
        <v>3345.3</v>
      </c>
      <c r="X116" s="1">
        <f>1500-25.2-262.4</f>
        <v>1212.4000000000001</v>
      </c>
      <c r="Y116" s="1">
        <f>1500+717</f>
        <v>2217</v>
      </c>
      <c r="Z116" s="1">
        <v>1900</v>
      </c>
      <c r="AA116" s="53">
        <f>SUM(T116:Z116)</f>
        <v>14329.199999999999</v>
      </c>
      <c r="AB116" s="52">
        <v>2024</v>
      </c>
      <c r="AC116" s="107"/>
    </row>
    <row r="117" spans="1:30" ht="46.1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69" t="s">
        <v>96</v>
      </c>
      <c r="S117" s="151" t="s">
        <v>37</v>
      </c>
      <c r="T117" s="2">
        <v>33</v>
      </c>
      <c r="U117" s="2">
        <v>38</v>
      </c>
      <c r="V117" s="2">
        <v>20</v>
      </c>
      <c r="W117" s="2">
        <v>27</v>
      </c>
      <c r="X117" s="2">
        <v>19</v>
      </c>
      <c r="Y117" s="2">
        <v>19</v>
      </c>
      <c r="Z117" s="2">
        <v>28</v>
      </c>
      <c r="AA117" s="43">
        <f>SUM(T117:Z117)</f>
        <v>184</v>
      </c>
      <c r="AB117" s="37">
        <v>2024</v>
      </c>
      <c r="AC117" s="31"/>
    </row>
    <row r="118" spans="1:30" ht="31.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69" t="s">
        <v>97</v>
      </c>
      <c r="S118" s="151" t="s">
        <v>37</v>
      </c>
      <c r="T118" s="2">
        <v>4</v>
      </c>
      <c r="U118" s="2">
        <v>4</v>
      </c>
      <c r="V118" s="2">
        <v>4</v>
      </c>
      <c r="W118" s="2">
        <v>4</v>
      </c>
      <c r="X118" s="2">
        <v>4</v>
      </c>
      <c r="Y118" s="2">
        <v>6</v>
      </c>
      <c r="Z118" s="2">
        <v>6</v>
      </c>
      <c r="AA118" s="41">
        <v>4</v>
      </c>
      <c r="AB118" s="37">
        <v>2024</v>
      </c>
      <c r="AC118" s="31"/>
    </row>
    <row r="119" spans="1:30" ht="48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142" t="s">
        <v>283</v>
      </c>
      <c r="S119" s="151" t="s">
        <v>37</v>
      </c>
      <c r="T119" s="40">
        <v>0</v>
      </c>
      <c r="U119" s="40">
        <v>29</v>
      </c>
      <c r="V119" s="40">
        <v>25</v>
      </c>
      <c r="W119" s="40">
        <v>17</v>
      </c>
      <c r="X119" s="40">
        <v>15</v>
      </c>
      <c r="Y119" s="40">
        <v>7</v>
      </c>
      <c r="Z119" s="40">
        <v>7</v>
      </c>
      <c r="AA119" s="43">
        <f>SUM(T119:Z119)</f>
        <v>100</v>
      </c>
      <c r="AB119" s="37">
        <v>2024</v>
      </c>
      <c r="AC119" s="110"/>
      <c r="AD119" s="89"/>
    </row>
    <row r="120" spans="1:30" ht="31.5" x14ac:dyDescent="0.25">
      <c r="A120" s="48" t="s">
        <v>18</v>
      </c>
      <c r="B120" s="48" t="s">
        <v>18</v>
      </c>
      <c r="C120" s="48" t="s">
        <v>24</v>
      </c>
      <c r="D120" s="48" t="s">
        <v>18</v>
      </c>
      <c r="E120" s="48" t="s">
        <v>21</v>
      </c>
      <c r="F120" s="48" t="s">
        <v>18</v>
      </c>
      <c r="G120" s="48" t="s">
        <v>22</v>
      </c>
      <c r="H120" s="48" t="s">
        <v>19</v>
      </c>
      <c r="I120" s="48" t="s">
        <v>24</v>
      </c>
      <c r="J120" s="48" t="s">
        <v>18</v>
      </c>
      <c r="K120" s="48" t="s">
        <v>18</v>
      </c>
      <c r="L120" s="48" t="s">
        <v>19</v>
      </c>
      <c r="M120" s="48" t="s">
        <v>42</v>
      </c>
      <c r="N120" s="48" t="s">
        <v>42</v>
      </c>
      <c r="O120" s="48" t="s">
        <v>42</v>
      </c>
      <c r="P120" s="48" t="s">
        <v>42</v>
      </c>
      <c r="Q120" s="48" t="s">
        <v>42</v>
      </c>
      <c r="R120" s="150" t="s">
        <v>98</v>
      </c>
      <c r="S120" s="49" t="s">
        <v>0</v>
      </c>
      <c r="T120" s="1">
        <f>1051.4-28.4-48.1</f>
        <v>974.90000000000009</v>
      </c>
      <c r="U120" s="1">
        <f>1450-14.6</f>
        <v>1435.4</v>
      </c>
      <c r="V120" s="1">
        <f>1450+1054.3-450.6</f>
        <v>2053.7000000000003</v>
      </c>
      <c r="W120" s="1">
        <f>1500+1001+150</f>
        <v>2651</v>
      </c>
      <c r="X120" s="1">
        <f>1500+722-400-410</f>
        <v>1412</v>
      </c>
      <c r="Y120" s="1">
        <f>1500-30+100+130</f>
        <v>1700</v>
      </c>
      <c r="Z120" s="1">
        <f>1500+675</f>
        <v>2175</v>
      </c>
      <c r="AA120" s="53">
        <f>SUM(T120:Z120)</f>
        <v>12402</v>
      </c>
      <c r="AB120" s="52">
        <v>2024</v>
      </c>
      <c r="AC120" s="106"/>
      <c r="AD120" s="96"/>
    </row>
    <row r="121" spans="1:30" ht="48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69" t="s">
        <v>228</v>
      </c>
      <c r="S121" s="151" t="s">
        <v>37</v>
      </c>
      <c r="T121" s="40">
        <v>4</v>
      </c>
      <c r="U121" s="40">
        <v>58</v>
      </c>
      <c r="V121" s="40">
        <v>0</v>
      </c>
      <c r="W121" s="40">
        <v>19</v>
      </c>
      <c r="X121" s="40">
        <v>0</v>
      </c>
      <c r="Y121" s="40">
        <v>5</v>
      </c>
      <c r="Z121" s="40">
        <v>1</v>
      </c>
      <c r="AA121" s="43">
        <f>SUM(T121:Z121)</f>
        <v>87</v>
      </c>
      <c r="AB121" s="37">
        <v>2024</v>
      </c>
      <c r="AC121" s="31"/>
    </row>
    <row r="122" spans="1:30" s="8" customFormat="1" ht="31.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69" t="s">
        <v>229</v>
      </c>
      <c r="S122" s="151" t="s">
        <v>37</v>
      </c>
      <c r="T122" s="40">
        <v>5</v>
      </c>
      <c r="U122" s="40">
        <v>5</v>
      </c>
      <c r="V122" s="40">
        <v>6</v>
      </c>
      <c r="W122" s="40">
        <v>6</v>
      </c>
      <c r="X122" s="40">
        <v>6</v>
      </c>
      <c r="Y122" s="40">
        <v>7</v>
      </c>
      <c r="Z122" s="40">
        <v>6</v>
      </c>
      <c r="AA122" s="43">
        <v>6</v>
      </c>
      <c r="AB122" s="37">
        <v>2024</v>
      </c>
      <c r="AC122" s="110"/>
      <c r="AD122" s="89"/>
    </row>
    <row r="123" spans="1:30" ht="47.2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69" t="s">
        <v>284</v>
      </c>
      <c r="S123" s="151" t="s">
        <v>37</v>
      </c>
      <c r="T123" s="40">
        <v>0</v>
      </c>
      <c r="U123" s="40">
        <v>16</v>
      </c>
      <c r="V123" s="40">
        <v>16</v>
      </c>
      <c r="W123" s="40">
        <v>30</v>
      </c>
      <c r="X123" s="40">
        <v>21</v>
      </c>
      <c r="Y123" s="40">
        <v>7</v>
      </c>
      <c r="Z123" s="40">
        <v>57</v>
      </c>
      <c r="AA123" s="43">
        <f>SUM(T123:Z123)</f>
        <v>147</v>
      </c>
      <c r="AB123" s="37">
        <v>2024</v>
      </c>
      <c r="AC123" s="110"/>
      <c r="AD123" s="89"/>
    </row>
    <row r="124" spans="1:30" ht="31.5" x14ac:dyDescent="0.25">
      <c r="A124" s="48" t="s">
        <v>18</v>
      </c>
      <c r="B124" s="48" t="s">
        <v>18</v>
      </c>
      <c r="C124" s="48" t="s">
        <v>21</v>
      </c>
      <c r="D124" s="48" t="s">
        <v>18</v>
      </c>
      <c r="E124" s="48" t="s">
        <v>21</v>
      </c>
      <c r="F124" s="48" t="s">
        <v>18</v>
      </c>
      <c r="G124" s="48" t="s">
        <v>22</v>
      </c>
      <c r="H124" s="48" t="s">
        <v>19</v>
      </c>
      <c r="I124" s="48" t="s">
        <v>24</v>
      </c>
      <c r="J124" s="48" t="s">
        <v>18</v>
      </c>
      <c r="K124" s="48" t="s">
        <v>18</v>
      </c>
      <c r="L124" s="48" t="s">
        <v>19</v>
      </c>
      <c r="M124" s="48" t="s">
        <v>42</v>
      </c>
      <c r="N124" s="48" t="s">
        <v>42</v>
      </c>
      <c r="O124" s="48" t="s">
        <v>42</v>
      </c>
      <c r="P124" s="48" t="s">
        <v>42</v>
      </c>
      <c r="Q124" s="48" t="s">
        <v>42</v>
      </c>
      <c r="R124" s="150" t="s">
        <v>98</v>
      </c>
      <c r="S124" s="49" t="s">
        <v>0</v>
      </c>
      <c r="T124" s="1">
        <f>1351.9-396.7-310.9-34</f>
        <v>610.30000000000007</v>
      </c>
      <c r="U124" s="1">
        <f>1750-198.6-29.9</f>
        <v>1521.5</v>
      </c>
      <c r="V124" s="1">
        <f>1749.6+553-113</f>
        <v>2189.6</v>
      </c>
      <c r="W124" s="1">
        <f>1500+1265.3</f>
        <v>2765.3</v>
      </c>
      <c r="X124" s="1">
        <f>1500-400-120+779.5</f>
        <v>1759.5</v>
      </c>
      <c r="Y124" s="1">
        <f>1500-200+527.3-60</f>
        <v>1767.3</v>
      </c>
      <c r="Z124" s="1">
        <f>1500-50+355.7</f>
        <v>1805.7</v>
      </c>
      <c r="AA124" s="53">
        <f>SUM(T124:Z124)</f>
        <v>12419.2</v>
      </c>
      <c r="AB124" s="52">
        <v>2024</v>
      </c>
      <c r="AC124" s="106"/>
      <c r="AD124" s="89"/>
    </row>
    <row r="125" spans="1:30" ht="47.25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69" t="s">
        <v>230</v>
      </c>
      <c r="S125" s="151" t="s">
        <v>37</v>
      </c>
      <c r="T125" s="2">
        <v>21</v>
      </c>
      <c r="U125" s="2">
        <v>95</v>
      </c>
      <c r="V125" s="2">
        <v>220</v>
      </c>
      <c r="W125" s="2">
        <v>90</v>
      </c>
      <c r="X125" s="2">
        <v>19</v>
      </c>
      <c r="Y125" s="2">
        <v>90</v>
      </c>
      <c r="Z125" s="2">
        <v>90</v>
      </c>
      <c r="AA125" s="43">
        <f>SUM(T125:Z125)</f>
        <v>625</v>
      </c>
      <c r="AB125" s="37">
        <v>2024</v>
      </c>
      <c r="AC125" s="110"/>
      <c r="AD125" s="89"/>
    </row>
    <row r="126" spans="1:30" ht="31.5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69" t="s">
        <v>231</v>
      </c>
      <c r="S126" s="151" t="s">
        <v>37</v>
      </c>
      <c r="T126" s="2">
        <v>4</v>
      </c>
      <c r="U126" s="2">
        <v>5</v>
      </c>
      <c r="V126" s="2">
        <v>5</v>
      </c>
      <c r="W126" s="2">
        <v>4</v>
      </c>
      <c r="X126" s="2">
        <v>4</v>
      </c>
      <c r="Y126" s="2">
        <v>3</v>
      </c>
      <c r="Z126" s="2">
        <v>4</v>
      </c>
      <c r="AA126" s="41">
        <v>4</v>
      </c>
      <c r="AB126" s="37">
        <v>2024</v>
      </c>
      <c r="AC126" s="114"/>
      <c r="AD126" s="89"/>
    </row>
    <row r="127" spans="1:30" ht="47.2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69" t="s">
        <v>285</v>
      </c>
      <c r="S127" s="151" t="s">
        <v>37</v>
      </c>
      <c r="T127" s="40">
        <v>0</v>
      </c>
      <c r="U127" s="40">
        <v>16</v>
      </c>
      <c r="V127" s="40">
        <v>15</v>
      </c>
      <c r="W127" s="40">
        <v>12</v>
      </c>
      <c r="X127" s="40">
        <v>13</v>
      </c>
      <c r="Y127" s="40">
        <v>8</v>
      </c>
      <c r="Z127" s="40">
        <v>8</v>
      </c>
      <c r="AA127" s="43">
        <f>SUM(T127:Z127)</f>
        <v>72</v>
      </c>
      <c r="AB127" s="37">
        <v>2024</v>
      </c>
      <c r="AC127" s="110"/>
      <c r="AD127" s="89"/>
    </row>
    <row r="128" spans="1:30" ht="31.5" x14ac:dyDescent="0.25">
      <c r="A128" s="48" t="s">
        <v>18</v>
      </c>
      <c r="B128" s="48" t="s">
        <v>18</v>
      </c>
      <c r="C128" s="48" t="s">
        <v>25</v>
      </c>
      <c r="D128" s="48" t="s">
        <v>18</v>
      </c>
      <c r="E128" s="48" t="s">
        <v>21</v>
      </c>
      <c r="F128" s="48" t="s">
        <v>18</v>
      </c>
      <c r="G128" s="48" t="s">
        <v>22</v>
      </c>
      <c r="H128" s="48" t="s">
        <v>19</v>
      </c>
      <c r="I128" s="48" t="s">
        <v>24</v>
      </c>
      <c r="J128" s="48" t="s">
        <v>18</v>
      </c>
      <c r="K128" s="48" t="s">
        <v>18</v>
      </c>
      <c r="L128" s="48" t="s">
        <v>19</v>
      </c>
      <c r="M128" s="48" t="s">
        <v>42</v>
      </c>
      <c r="N128" s="48" t="s">
        <v>42</v>
      </c>
      <c r="O128" s="48" t="s">
        <v>42</v>
      </c>
      <c r="P128" s="48" t="s">
        <v>42</v>
      </c>
      <c r="Q128" s="48" t="s">
        <v>42</v>
      </c>
      <c r="R128" s="150" t="s">
        <v>95</v>
      </c>
      <c r="S128" s="49" t="s">
        <v>0</v>
      </c>
      <c r="T128" s="1">
        <f>4141.3-300-1489-672.7-86.2-669.2</f>
        <v>924.2</v>
      </c>
      <c r="U128" s="1">
        <f>2950-369.3-0.6-50-20-366-142.8</f>
        <v>2001.3</v>
      </c>
      <c r="V128" s="1">
        <f>2950+153.2-3.3-641.8</f>
        <v>2458.0999999999995</v>
      </c>
      <c r="W128" s="1">
        <f>1900-22+817.5-91-182</f>
        <v>2422.5</v>
      </c>
      <c r="X128" s="1">
        <f>1682.2-20.6-0.6+461.1-267</f>
        <v>1855.1000000000004</v>
      </c>
      <c r="Y128" s="1">
        <f>1682.2-150+358.2+175.5</f>
        <v>2065.9</v>
      </c>
      <c r="Z128" s="1">
        <f>940.4+1280-4+300</f>
        <v>2516.4</v>
      </c>
      <c r="AA128" s="53">
        <f>SUM(T128:Z128)</f>
        <v>14243.5</v>
      </c>
      <c r="AB128" s="52">
        <v>2024</v>
      </c>
      <c r="AC128" s="107"/>
    </row>
    <row r="129" spans="1:31" ht="46.9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67" t="s">
        <v>232</v>
      </c>
      <c r="S129" s="151" t="s">
        <v>37</v>
      </c>
      <c r="T129" s="40">
        <v>7</v>
      </c>
      <c r="U129" s="40">
        <v>7</v>
      </c>
      <c r="V129" s="40">
        <v>70</v>
      </c>
      <c r="W129" s="40">
        <v>0</v>
      </c>
      <c r="X129" s="40">
        <v>60</v>
      </c>
      <c r="Y129" s="40">
        <v>44</v>
      </c>
      <c r="Z129" s="40">
        <v>0</v>
      </c>
      <c r="AA129" s="43">
        <f>SUM(T129:Z129)</f>
        <v>188</v>
      </c>
      <c r="AB129" s="37">
        <v>2023</v>
      </c>
      <c r="AC129" s="31"/>
    </row>
    <row r="130" spans="1:31" ht="31.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67" t="s">
        <v>233</v>
      </c>
      <c r="S130" s="37" t="s">
        <v>37</v>
      </c>
      <c r="T130" s="40">
        <v>3</v>
      </c>
      <c r="U130" s="40">
        <v>2</v>
      </c>
      <c r="V130" s="40">
        <v>4</v>
      </c>
      <c r="W130" s="40">
        <v>4</v>
      </c>
      <c r="X130" s="40">
        <v>3</v>
      </c>
      <c r="Y130" s="40">
        <v>2</v>
      </c>
      <c r="Z130" s="40">
        <v>2</v>
      </c>
      <c r="AA130" s="43">
        <f>Z130</f>
        <v>2</v>
      </c>
      <c r="AB130" s="37">
        <v>2024</v>
      </c>
      <c r="AC130" s="110"/>
      <c r="AD130" s="89"/>
    </row>
    <row r="131" spans="1:31" ht="47.2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69" t="s">
        <v>286</v>
      </c>
      <c r="S131" s="151" t="s">
        <v>37</v>
      </c>
      <c r="T131" s="40">
        <v>0</v>
      </c>
      <c r="U131" s="40">
        <v>15</v>
      </c>
      <c r="V131" s="40">
        <v>2</v>
      </c>
      <c r="W131" s="40">
        <v>2</v>
      </c>
      <c r="X131" s="40">
        <v>6</v>
      </c>
      <c r="Y131" s="40">
        <v>4</v>
      </c>
      <c r="Z131" s="40">
        <v>26</v>
      </c>
      <c r="AA131" s="43">
        <f>SUM(T131:Z131)</f>
        <v>55</v>
      </c>
      <c r="AB131" s="37">
        <v>2024</v>
      </c>
      <c r="AC131" s="110"/>
      <c r="AD131" s="89"/>
    </row>
    <row r="132" spans="1:31" ht="31.5" x14ac:dyDescent="0.25">
      <c r="A132" s="48" t="s">
        <v>18</v>
      </c>
      <c r="B132" s="48" t="s">
        <v>19</v>
      </c>
      <c r="C132" s="48" t="s">
        <v>24</v>
      </c>
      <c r="D132" s="48" t="s">
        <v>18</v>
      </c>
      <c r="E132" s="48" t="s">
        <v>21</v>
      </c>
      <c r="F132" s="48" t="s">
        <v>18</v>
      </c>
      <c r="G132" s="48" t="s">
        <v>22</v>
      </c>
      <c r="H132" s="48" t="s">
        <v>19</v>
      </c>
      <c r="I132" s="48" t="s">
        <v>24</v>
      </c>
      <c r="J132" s="48" t="s">
        <v>18</v>
      </c>
      <c r="K132" s="48" t="s">
        <v>18</v>
      </c>
      <c r="L132" s="48" t="s">
        <v>19</v>
      </c>
      <c r="M132" s="48" t="s">
        <v>42</v>
      </c>
      <c r="N132" s="48" t="s">
        <v>42</v>
      </c>
      <c r="O132" s="48" t="s">
        <v>42</v>
      </c>
      <c r="P132" s="48" t="s">
        <v>42</v>
      </c>
      <c r="Q132" s="48" t="s">
        <v>42</v>
      </c>
      <c r="R132" s="150" t="s">
        <v>95</v>
      </c>
      <c r="S132" s="49" t="s">
        <v>0</v>
      </c>
      <c r="T132" s="1">
        <f>236-236+500-125.3</f>
        <v>374.7</v>
      </c>
      <c r="U132" s="1">
        <f>0+229+48-32</f>
        <v>245</v>
      </c>
      <c r="V132" s="1">
        <f>0+150-6.8</f>
        <v>143.19999999999999</v>
      </c>
      <c r="W132" s="1">
        <f>0+30</f>
        <v>30</v>
      </c>
      <c r="X132" s="1">
        <f>30+80</f>
        <v>110</v>
      </c>
      <c r="Y132" s="1">
        <f>0+75-25</f>
        <v>50</v>
      </c>
      <c r="Z132" s="1">
        <f>100</f>
        <v>100</v>
      </c>
      <c r="AA132" s="53">
        <f>SUM(T132:Z132)</f>
        <v>1052.9000000000001</v>
      </c>
      <c r="AB132" s="52">
        <v>2024</v>
      </c>
      <c r="AC132" s="110"/>
      <c r="AD132" s="89"/>
    </row>
    <row r="133" spans="1:31" ht="47.25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69" t="s">
        <v>289</v>
      </c>
      <c r="S133" s="151" t="s">
        <v>37</v>
      </c>
      <c r="T133" s="40">
        <v>25</v>
      </c>
      <c r="U133" s="2">
        <v>1</v>
      </c>
      <c r="V133" s="2">
        <v>16</v>
      </c>
      <c r="W133" s="2">
        <v>2</v>
      </c>
      <c r="X133" s="2">
        <v>5</v>
      </c>
      <c r="Y133" s="40">
        <v>1</v>
      </c>
      <c r="Z133" s="40">
        <v>2</v>
      </c>
      <c r="AA133" s="43">
        <f>SUM(T133:Z133)</f>
        <v>52</v>
      </c>
      <c r="AB133" s="37">
        <v>2024</v>
      </c>
      <c r="AC133" s="110"/>
      <c r="AD133" s="89"/>
    </row>
    <row r="134" spans="1:31" x14ac:dyDescent="0.25">
      <c r="A134" s="48" t="s">
        <v>18</v>
      </c>
      <c r="B134" s="48" t="s">
        <v>19</v>
      </c>
      <c r="C134" s="48" t="s">
        <v>20</v>
      </c>
      <c r="D134" s="48" t="s">
        <v>18</v>
      </c>
      <c r="E134" s="48" t="s">
        <v>21</v>
      </c>
      <c r="F134" s="48" t="s">
        <v>18</v>
      </c>
      <c r="G134" s="48" t="s">
        <v>22</v>
      </c>
      <c r="H134" s="48" t="s">
        <v>19</v>
      </c>
      <c r="I134" s="48" t="s">
        <v>24</v>
      </c>
      <c r="J134" s="48" t="s">
        <v>18</v>
      </c>
      <c r="K134" s="48" t="s">
        <v>18</v>
      </c>
      <c r="L134" s="48" t="s">
        <v>19</v>
      </c>
      <c r="M134" s="48" t="s">
        <v>18</v>
      </c>
      <c r="N134" s="48" t="s">
        <v>18</v>
      </c>
      <c r="O134" s="48" t="s">
        <v>18</v>
      </c>
      <c r="P134" s="48" t="s">
        <v>18</v>
      </c>
      <c r="Q134" s="48" t="s">
        <v>18</v>
      </c>
      <c r="R134" s="153" t="s">
        <v>99</v>
      </c>
      <c r="S134" s="155" t="s">
        <v>0</v>
      </c>
      <c r="T134" s="53">
        <f>SUM(T135:T136)</f>
        <v>124849.7</v>
      </c>
      <c r="U134" s="53">
        <f t="shared" ref="U134:Z134" si="45">SUM(U135:U136)</f>
        <v>257371.5</v>
      </c>
      <c r="V134" s="53">
        <f t="shared" si="45"/>
        <v>178030.5</v>
      </c>
      <c r="W134" s="53">
        <f t="shared" si="45"/>
        <v>153398.5</v>
      </c>
      <c r="X134" s="53">
        <f>SUM(X135:X136)</f>
        <v>238506.30000000002</v>
      </c>
      <c r="Y134" s="53">
        <f t="shared" si="45"/>
        <v>219633.4</v>
      </c>
      <c r="Z134" s="53">
        <f t="shared" si="45"/>
        <v>311655.7</v>
      </c>
      <c r="AA134" s="53">
        <f>SUM(T134:Z134)</f>
        <v>1483445.5999999999</v>
      </c>
      <c r="AB134" s="52">
        <v>2024</v>
      </c>
      <c r="AC134" s="106"/>
      <c r="AD134" s="89"/>
    </row>
    <row r="135" spans="1:31" x14ac:dyDescent="0.25">
      <c r="A135" s="48" t="s">
        <v>18</v>
      </c>
      <c r="B135" s="48" t="s">
        <v>19</v>
      </c>
      <c r="C135" s="48" t="s">
        <v>20</v>
      </c>
      <c r="D135" s="48" t="s">
        <v>18</v>
      </c>
      <c r="E135" s="48" t="s">
        <v>21</v>
      </c>
      <c r="F135" s="48" t="s">
        <v>18</v>
      </c>
      <c r="G135" s="48" t="s">
        <v>22</v>
      </c>
      <c r="H135" s="48" t="s">
        <v>19</v>
      </c>
      <c r="I135" s="48" t="s">
        <v>24</v>
      </c>
      <c r="J135" s="48" t="s">
        <v>18</v>
      </c>
      <c r="K135" s="48" t="s">
        <v>18</v>
      </c>
      <c r="L135" s="48" t="s">
        <v>19</v>
      </c>
      <c r="M135" s="48" t="s">
        <v>18</v>
      </c>
      <c r="N135" s="48" t="s">
        <v>19</v>
      </c>
      <c r="O135" s="48" t="s">
        <v>18</v>
      </c>
      <c r="P135" s="48" t="s">
        <v>18</v>
      </c>
      <c r="Q135" s="48" t="s">
        <v>18</v>
      </c>
      <c r="R135" s="154"/>
      <c r="S135" s="156"/>
      <c r="T135" s="1">
        <v>0</v>
      </c>
      <c r="U135" s="1">
        <v>0</v>
      </c>
      <c r="V135" s="1">
        <v>0</v>
      </c>
      <c r="W135" s="1">
        <v>0</v>
      </c>
      <c r="X135" s="1">
        <f>4417.1-142.1</f>
        <v>4275</v>
      </c>
      <c r="Y135" s="1">
        <v>12525.5</v>
      </c>
      <c r="Z135" s="1">
        <v>11795.4</v>
      </c>
      <c r="AA135" s="53">
        <f t="shared" ref="AA135:AA136" si="46">SUM(T135:Z135)</f>
        <v>28595.9</v>
      </c>
      <c r="AB135" s="52">
        <v>2024</v>
      </c>
      <c r="AC135" s="106"/>
      <c r="AD135" s="89"/>
    </row>
    <row r="136" spans="1:31" x14ac:dyDescent="0.25">
      <c r="A136" s="48" t="s">
        <v>18</v>
      </c>
      <c r="B136" s="48" t="s">
        <v>19</v>
      </c>
      <c r="C136" s="48" t="s">
        <v>20</v>
      </c>
      <c r="D136" s="48" t="s">
        <v>18</v>
      </c>
      <c r="E136" s="48" t="s">
        <v>21</v>
      </c>
      <c r="F136" s="48" t="s">
        <v>18</v>
      </c>
      <c r="G136" s="48" t="s">
        <v>22</v>
      </c>
      <c r="H136" s="48" t="s">
        <v>19</v>
      </c>
      <c r="I136" s="48" t="s">
        <v>24</v>
      </c>
      <c r="J136" s="48" t="s">
        <v>18</v>
      </c>
      <c r="K136" s="48" t="s">
        <v>18</v>
      </c>
      <c r="L136" s="48" t="s">
        <v>19</v>
      </c>
      <c r="M136" s="48" t="s">
        <v>42</v>
      </c>
      <c r="N136" s="48" t="s">
        <v>42</v>
      </c>
      <c r="O136" s="48" t="s">
        <v>42</v>
      </c>
      <c r="P136" s="48" t="s">
        <v>42</v>
      </c>
      <c r="Q136" s="48" t="s">
        <v>42</v>
      </c>
      <c r="R136" s="170"/>
      <c r="S136" s="171"/>
      <c r="T136" s="1">
        <f>99204.4+25748.3-45-48-10</f>
        <v>124849.7</v>
      </c>
      <c r="U136" s="1">
        <f>98382.7+162290.6-3301.8</f>
        <v>257371.5</v>
      </c>
      <c r="V136" s="1">
        <f>180545.5-150-150-2115-100</f>
        <v>178030.5</v>
      </c>
      <c r="W136" s="1">
        <f>154888-50-70-100-600+13707.9-6323.8-4495.6-1358-2200</f>
        <v>153398.5</v>
      </c>
      <c r="X136" s="1">
        <f>181212.6+15591.9+25349.2+40.5+12037.1</f>
        <v>234231.30000000002</v>
      </c>
      <c r="Y136" s="1">
        <f>118003.1-92.8+13600+26229.6+829.4+48538.6</f>
        <v>207107.9</v>
      </c>
      <c r="Z136" s="1">
        <f>171080-250+16264.6+26208.8+86556.9</f>
        <v>299860.3</v>
      </c>
      <c r="AA136" s="53">
        <f t="shared" si="46"/>
        <v>1454849.7</v>
      </c>
      <c r="AB136" s="52">
        <v>2024</v>
      </c>
      <c r="AC136" s="106"/>
      <c r="AD136" s="89"/>
    </row>
    <row r="137" spans="1:31" ht="31.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69" t="s">
        <v>340</v>
      </c>
      <c r="S137" s="151" t="s">
        <v>48</v>
      </c>
      <c r="T137" s="2">
        <v>21452</v>
      </c>
      <c r="U137" s="2">
        <v>21713</v>
      </c>
      <c r="V137" s="2">
        <v>21820</v>
      </c>
      <c r="W137" s="2">
        <v>22526</v>
      </c>
      <c r="X137" s="2">
        <v>22859</v>
      </c>
      <c r="Y137" s="2">
        <f>22971+232</f>
        <v>23203</v>
      </c>
      <c r="Z137" s="2">
        <f>23260+232</f>
        <v>23492</v>
      </c>
      <c r="AA137" s="43">
        <f>Z137</f>
        <v>23492</v>
      </c>
      <c r="AB137" s="37">
        <v>2024</v>
      </c>
      <c r="AC137" s="110"/>
      <c r="AD137" s="96"/>
      <c r="AE137" s="96"/>
    </row>
    <row r="138" spans="1:31" ht="31.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69" t="s">
        <v>339</v>
      </c>
      <c r="S138" s="151" t="s">
        <v>9</v>
      </c>
      <c r="T138" s="3">
        <v>95</v>
      </c>
      <c r="U138" s="3">
        <v>95</v>
      </c>
      <c r="V138" s="3">
        <v>95</v>
      </c>
      <c r="W138" s="3">
        <v>95</v>
      </c>
      <c r="X138" s="3">
        <v>95</v>
      </c>
      <c r="Y138" s="3">
        <v>95</v>
      </c>
      <c r="Z138" s="3">
        <v>95</v>
      </c>
      <c r="AA138" s="5">
        <v>95</v>
      </c>
      <c r="AB138" s="37">
        <v>2024</v>
      </c>
      <c r="AC138" s="31"/>
    </row>
    <row r="139" spans="1:31" ht="31.5" x14ac:dyDescent="0.25">
      <c r="A139" s="48"/>
      <c r="B139" s="48"/>
      <c r="C139" s="48"/>
      <c r="D139" s="48" t="s">
        <v>18</v>
      </c>
      <c r="E139" s="48" t="s">
        <v>21</v>
      </c>
      <c r="F139" s="48" t="s">
        <v>18</v>
      </c>
      <c r="G139" s="48" t="s">
        <v>22</v>
      </c>
      <c r="H139" s="48" t="s">
        <v>19</v>
      </c>
      <c r="I139" s="48" t="s">
        <v>24</v>
      </c>
      <c r="J139" s="48" t="s">
        <v>18</v>
      </c>
      <c r="K139" s="48" t="s">
        <v>18</v>
      </c>
      <c r="L139" s="48" t="s">
        <v>19</v>
      </c>
      <c r="M139" s="48" t="s">
        <v>42</v>
      </c>
      <c r="N139" s="48" t="s">
        <v>42</v>
      </c>
      <c r="O139" s="48" t="s">
        <v>42</v>
      </c>
      <c r="P139" s="48" t="s">
        <v>42</v>
      </c>
      <c r="Q139" s="48" t="s">
        <v>42</v>
      </c>
      <c r="R139" s="66" t="s">
        <v>100</v>
      </c>
      <c r="S139" s="52" t="s">
        <v>0</v>
      </c>
      <c r="T139" s="53">
        <f t="shared" ref="T139:Y140" si="47">T141+T143+T145+T147</f>
        <v>1880.0999999999997</v>
      </c>
      <c r="U139" s="53">
        <f t="shared" si="47"/>
        <v>1976</v>
      </c>
      <c r="V139" s="53">
        <f t="shared" si="47"/>
        <v>1715.8</v>
      </c>
      <c r="W139" s="53">
        <f t="shared" si="47"/>
        <v>2672.1</v>
      </c>
      <c r="X139" s="53">
        <f t="shared" si="47"/>
        <v>7326.9</v>
      </c>
      <c r="Y139" s="53">
        <f t="shared" si="47"/>
        <v>3141.3999999999996</v>
      </c>
      <c r="Z139" s="53">
        <f>Z141+Z143+Z145+Z147+Z149</f>
        <v>6504.1</v>
      </c>
      <c r="AA139" s="53">
        <f t="shared" ref="AA139:AA147" si="48">SUM(T139:Z139)</f>
        <v>25216.400000000001</v>
      </c>
      <c r="AB139" s="52">
        <v>2024</v>
      </c>
      <c r="AC139" s="107"/>
    </row>
    <row r="140" spans="1:31" ht="31.1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67" t="s">
        <v>101</v>
      </c>
      <c r="S140" s="37" t="s">
        <v>37</v>
      </c>
      <c r="T140" s="40">
        <f t="shared" si="47"/>
        <v>61</v>
      </c>
      <c r="U140" s="40">
        <f t="shared" si="47"/>
        <v>147</v>
      </c>
      <c r="V140" s="40">
        <f t="shared" si="47"/>
        <v>255</v>
      </c>
      <c r="W140" s="40">
        <f t="shared" si="47"/>
        <v>311</v>
      </c>
      <c r="X140" s="40">
        <f t="shared" si="47"/>
        <v>410</v>
      </c>
      <c r="Y140" s="40">
        <f t="shared" si="47"/>
        <v>418</v>
      </c>
      <c r="Z140" s="40">
        <f>Z142+Z144+Z146+Z148+Z150</f>
        <v>406</v>
      </c>
      <c r="AA140" s="43">
        <f>Z140</f>
        <v>406</v>
      </c>
      <c r="AB140" s="37">
        <v>2024</v>
      </c>
      <c r="AC140" s="110"/>
      <c r="AD140" s="89"/>
    </row>
    <row r="141" spans="1:31" ht="31.5" x14ac:dyDescent="0.25">
      <c r="A141" s="48" t="s">
        <v>18</v>
      </c>
      <c r="B141" s="48" t="s">
        <v>18</v>
      </c>
      <c r="C141" s="48" t="s">
        <v>22</v>
      </c>
      <c r="D141" s="48" t="s">
        <v>18</v>
      </c>
      <c r="E141" s="48" t="s">
        <v>21</v>
      </c>
      <c r="F141" s="48" t="s">
        <v>18</v>
      </c>
      <c r="G141" s="48" t="s">
        <v>22</v>
      </c>
      <c r="H141" s="48" t="s">
        <v>19</v>
      </c>
      <c r="I141" s="48" t="s">
        <v>24</v>
      </c>
      <c r="J141" s="48" t="s">
        <v>18</v>
      </c>
      <c r="K141" s="48" t="s">
        <v>18</v>
      </c>
      <c r="L141" s="48" t="s">
        <v>19</v>
      </c>
      <c r="M141" s="48" t="s">
        <v>42</v>
      </c>
      <c r="N141" s="48" t="s">
        <v>42</v>
      </c>
      <c r="O141" s="48" t="s">
        <v>42</v>
      </c>
      <c r="P141" s="48" t="s">
        <v>42</v>
      </c>
      <c r="Q141" s="48" t="s">
        <v>42</v>
      </c>
      <c r="R141" s="150" t="s">
        <v>102</v>
      </c>
      <c r="S141" s="49" t="s">
        <v>0</v>
      </c>
      <c r="T141" s="1">
        <f>92-9.2+105.5-26.8</f>
        <v>161.5</v>
      </c>
      <c r="U141" s="1">
        <f>1092-122.4</f>
        <v>969.6</v>
      </c>
      <c r="V141" s="1">
        <f>1092-692</f>
        <v>400</v>
      </c>
      <c r="W141" s="1">
        <v>1092</v>
      </c>
      <c r="X141" s="1">
        <f>1092-12.7</f>
        <v>1079.3</v>
      </c>
      <c r="Y141" s="1">
        <v>1092</v>
      </c>
      <c r="Z141" s="1">
        <f>1092-5.5+369.2</f>
        <v>1455.7</v>
      </c>
      <c r="AA141" s="53">
        <f t="shared" si="48"/>
        <v>6250.0999999999995</v>
      </c>
      <c r="AB141" s="52">
        <v>2024</v>
      </c>
      <c r="AC141" s="107"/>
    </row>
    <row r="142" spans="1:31" ht="47.25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139" t="s">
        <v>103</v>
      </c>
      <c r="S142" s="151" t="s">
        <v>37</v>
      </c>
      <c r="T142" s="40">
        <f>4+4</f>
        <v>8</v>
      </c>
      <c r="U142" s="40">
        <f>29+21</f>
        <v>50</v>
      </c>
      <c r="V142" s="40">
        <v>23</v>
      </c>
      <c r="W142" s="40">
        <v>54</v>
      </c>
      <c r="X142" s="40">
        <v>157</v>
      </c>
      <c r="Y142" s="40">
        <v>159</v>
      </c>
      <c r="Z142" s="40">
        <v>160</v>
      </c>
      <c r="AA142" s="43">
        <f>Z142</f>
        <v>160</v>
      </c>
      <c r="AB142" s="37">
        <v>2024</v>
      </c>
      <c r="AC142" s="114"/>
      <c r="AD142" s="96"/>
    </row>
    <row r="143" spans="1:31" ht="31.5" x14ac:dyDescent="0.25">
      <c r="A143" s="48" t="s">
        <v>18</v>
      </c>
      <c r="B143" s="48" t="s">
        <v>18</v>
      </c>
      <c r="C143" s="48" t="s">
        <v>24</v>
      </c>
      <c r="D143" s="48" t="s">
        <v>18</v>
      </c>
      <c r="E143" s="48" t="s">
        <v>21</v>
      </c>
      <c r="F143" s="48" t="s">
        <v>18</v>
      </c>
      <c r="G143" s="48" t="s">
        <v>22</v>
      </c>
      <c r="H143" s="48" t="s">
        <v>19</v>
      </c>
      <c r="I143" s="48" t="s">
        <v>24</v>
      </c>
      <c r="J143" s="48" t="s">
        <v>18</v>
      </c>
      <c r="K143" s="48" t="s">
        <v>18</v>
      </c>
      <c r="L143" s="48" t="s">
        <v>19</v>
      </c>
      <c r="M143" s="48" t="s">
        <v>42</v>
      </c>
      <c r="N143" s="48" t="s">
        <v>42</v>
      </c>
      <c r="O143" s="48" t="s">
        <v>42</v>
      </c>
      <c r="P143" s="48" t="s">
        <v>42</v>
      </c>
      <c r="Q143" s="48" t="s">
        <v>42</v>
      </c>
      <c r="R143" s="150" t="s">
        <v>102</v>
      </c>
      <c r="S143" s="49" t="s">
        <v>0</v>
      </c>
      <c r="T143" s="1">
        <f>1135.8-126-115.2-44.7</f>
        <v>849.89999999999986</v>
      </c>
      <c r="U143" s="1">
        <f>630.5-140-173</f>
        <v>317.5</v>
      </c>
      <c r="V143" s="1">
        <f>630.5-192.2</f>
        <v>438.3</v>
      </c>
      <c r="W143" s="1">
        <f>630.5+9.9</f>
        <v>640.4</v>
      </c>
      <c r="X143" s="1">
        <f>630.5+400</f>
        <v>1030.5</v>
      </c>
      <c r="Y143" s="1">
        <f>630.5+386.7-35</f>
        <v>982.2</v>
      </c>
      <c r="Z143" s="1">
        <f>630.5+2758.2-91.1</f>
        <v>3297.6</v>
      </c>
      <c r="AA143" s="53">
        <f t="shared" si="48"/>
        <v>7556.4</v>
      </c>
      <c r="AB143" s="52">
        <v>2024</v>
      </c>
      <c r="AC143" s="109"/>
      <c r="AD143" s="89"/>
    </row>
    <row r="144" spans="1:31" ht="47.25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69" t="s">
        <v>104</v>
      </c>
      <c r="S144" s="151" t="s">
        <v>37</v>
      </c>
      <c r="T144" s="40">
        <v>26</v>
      </c>
      <c r="U144" s="40">
        <v>62</v>
      </c>
      <c r="V144" s="40">
        <v>56</v>
      </c>
      <c r="W144" s="40">
        <v>76</v>
      </c>
      <c r="X144" s="40">
        <v>35</v>
      </c>
      <c r="Y144" s="40">
        <v>45</v>
      </c>
      <c r="Z144" s="40">
        <v>35</v>
      </c>
      <c r="AA144" s="43">
        <v>35</v>
      </c>
      <c r="AB144" s="37">
        <v>2024</v>
      </c>
      <c r="AC144" s="110"/>
      <c r="AD144" s="89"/>
    </row>
    <row r="145" spans="1:32" ht="31.5" x14ac:dyDescent="0.25">
      <c r="A145" s="48" t="s">
        <v>18</v>
      </c>
      <c r="B145" s="48" t="s">
        <v>18</v>
      </c>
      <c r="C145" s="48" t="s">
        <v>21</v>
      </c>
      <c r="D145" s="48" t="s">
        <v>18</v>
      </c>
      <c r="E145" s="48" t="s">
        <v>21</v>
      </c>
      <c r="F145" s="48" t="s">
        <v>18</v>
      </c>
      <c r="G145" s="48" t="s">
        <v>22</v>
      </c>
      <c r="H145" s="48" t="s">
        <v>19</v>
      </c>
      <c r="I145" s="48" t="s">
        <v>24</v>
      </c>
      <c r="J145" s="48" t="s">
        <v>18</v>
      </c>
      <c r="K145" s="48" t="s">
        <v>18</v>
      </c>
      <c r="L145" s="48" t="s">
        <v>19</v>
      </c>
      <c r="M145" s="48" t="s">
        <v>42</v>
      </c>
      <c r="N145" s="48" t="s">
        <v>42</v>
      </c>
      <c r="O145" s="48" t="s">
        <v>42</v>
      </c>
      <c r="P145" s="48" t="s">
        <v>42</v>
      </c>
      <c r="Q145" s="48" t="s">
        <v>42</v>
      </c>
      <c r="R145" s="150" t="s">
        <v>102</v>
      </c>
      <c r="S145" s="49" t="s">
        <v>0</v>
      </c>
      <c r="T145" s="1">
        <f>429.2+396.7-107.5</f>
        <v>718.4</v>
      </c>
      <c r="U145" s="1">
        <f>475.2-36.3</f>
        <v>438.9</v>
      </c>
      <c r="V145" s="1">
        <v>475.7</v>
      </c>
      <c r="W145" s="1">
        <f>475.2-25.2</f>
        <v>450</v>
      </c>
      <c r="X145" s="1">
        <f>475.2+4361-19.1</f>
        <v>4817.0999999999995</v>
      </c>
      <c r="Y145" s="1">
        <f>475.2+42</f>
        <v>517.20000000000005</v>
      </c>
      <c r="Z145" s="1">
        <f>475.2+275.6</f>
        <v>750.8</v>
      </c>
      <c r="AA145" s="53">
        <f t="shared" si="48"/>
        <v>8168.0999999999995</v>
      </c>
      <c r="AB145" s="52">
        <v>2024</v>
      </c>
      <c r="AC145" s="107"/>
    </row>
    <row r="146" spans="1:32" ht="47.25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67" t="s">
        <v>105</v>
      </c>
      <c r="S146" s="37" t="s">
        <v>37</v>
      </c>
      <c r="T146" s="40">
        <v>17</v>
      </c>
      <c r="U146" s="40">
        <v>17</v>
      </c>
      <c r="V146" s="40">
        <v>122</v>
      </c>
      <c r="W146" s="40">
        <v>132</v>
      </c>
      <c r="X146" s="40">
        <f>132+3</f>
        <v>135</v>
      </c>
      <c r="Y146" s="40">
        <v>134</v>
      </c>
      <c r="Z146" s="40">
        <v>134</v>
      </c>
      <c r="AA146" s="43">
        <v>134</v>
      </c>
      <c r="AB146" s="37">
        <v>2024</v>
      </c>
      <c r="AC146" s="110"/>
      <c r="AD146" s="89"/>
    </row>
    <row r="147" spans="1:32" ht="31.5" x14ac:dyDescent="0.25">
      <c r="A147" s="48" t="s">
        <v>18</v>
      </c>
      <c r="B147" s="48" t="s">
        <v>18</v>
      </c>
      <c r="C147" s="48" t="s">
        <v>25</v>
      </c>
      <c r="D147" s="48" t="s">
        <v>18</v>
      </c>
      <c r="E147" s="48" t="s">
        <v>21</v>
      </c>
      <c r="F147" s="48" t="s">
        <v>18</v>
      </c>
      <c r="G147" s="48" t="s">
        <v>22</v>
      </c>
      <c r="H147" s="48" t="s">
        <v>19</v>
      </c>
      <c r="I147" s="48" t="s">
        <v>24</v>
      </c>
      <c r="J147" s="48" t="s">
        <v>18</v>
      </c>
      <c r="K147" s="48" t="s">
        <v>18</v>
      </c>
      <c r="L147" s="48" t="s">
        <v>19</v>
      </c>
      <c r="M147" s="48" t="s">
        <v>42</v>
      </c>
      <c r="N147" s="48" t="s">
        <v>42</v>
      </c>
      <c r="O147" s="48" t="s">
        <v>42</v>
      </c>
      <c r="P147" s="48" t="s">
        <v>42</v>
      </c>
      <c r="Q147" s="48" t="s">
        <v>42</v>
      </c>
      <c r="R147" s="150" t="s">
        <v>106</v>
      </c>
      <c r="S147" s="49" t="s">
        <v>0</v>
      </c>
      <c r="T147" s="1">
        <f>153.3-3</f>
        <v>150.30000000000001</v>
      </c>
      <c r="U147" s="1">
        <f>200+50</f>
        <v>250</v>
      </c>
      <c r="V147" s="1">
        <f>500-101.5+3.3</f>
        <v>401.8</v>
      </c>
      <c r="W147" s="1">
        <f>500-10.3</f>
        <v>489.7</v>
      </c>
      <c r="X147" s="1">
        <v>400</v>
      </c>
      <c r="Y147" s="1">
        <f>400+150</f>
        <v>550</v>
      </c>
      <c r="Z147" s="1">
        <f>700+300</f>
        <v>1000</v>
      </c>
      <c r="AA147" s="53">
        <f t="shared" si="48"/>
        <v>3241.8</v>
      </c>
      <c r="AB147" s="52">
        <v>2024</v>
      </c>
      <c r="AC147" s="31"/>
    </row>
    <row r="148" spans="1:32" ht="47.25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67" t="s">
        <v>107</v>
      </c>
      <c r="S148" s="37" t="s">
        <v>37</v>
      </c>
      <c r="T148" s="40">
        <v>10</v>
      </c>
      <c r="U148" s="40">
        <v>18</v>
      </c>
      <c r="V148" s="40">
        <v>54</v>
      </c>
      <c r="W148" s="40">
        <v>49</v>
      </c>
      <c r="X148" s="40">
        <v>83</v>
      </c>
      <c r="Y148" s="40">
        <v>80</v>
      </c>
      <c r="Z148" s="40">
        <v>77</v>
      </c>
      <c r="AA148" s="43">
        <v>77</v>
      </c>
      <c r="AB148" s="37">
        <v>2024</v>
      </c>
      <c r="AC148" s="31"/>
    </row>
    <row r="149" spans="1:32" ht="31.5" hidden="1" x14ac:dyDescent="0.25">
      <c r="A149" s="48" t="s">
        <v>18</v>
      </c>
      <c r="B149" s="48" t="s">
        <v>19</v>
      </c>
      <c r="C149" s="48" t="s">
        <v>20</v>
      </c>
      <c r="D149" s="48" t="s">
        <v>18</v>
      </c>
      <c r="E149" s="48" t="s">
        <v>21</v>
      </c>
      <c r="F149" s="48" t="s">
        <v>18</v>
      </c>
      <c r="G149" s="48" t="s">
        <v>22</v>
      </c>
      <c r="H149" s="48" t="s">
        <v>19</v>
      </c>
      <c r="I149" s="48" t="s">
        <v>24</v>
      </c>
      <c r="J149" s="48" t="s">
        <v>18</v>
      </c>
      <c r="K149" s="48" t="s">
        <v>18</v>
      </c>
      <c r="L149" s="48" t="s">
        <v>19</v>
      </c>
      <c r="M149" s="48" t="s">
        <v>42</v>
      </c>
      <c r="N149" s="48" t="s">
        <v>42</v>
      </c>
      <c r="O149" s="48" t="s">
        <v>42</v>
      </c>
      <c r="P149" s="48" t="s">
        <v>42</v>
      </c>
      <c r="Q149" s="48" t="s">
        <v>42</v>
      </c>
      <c r="R149" s="150" t="s">
        <v>106</v>
      </c>
      <c r="S149" s="82" t="s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f>4170.8-4170.8</f>
        <v>0</v>
      </c>
      <c r="AA149" s="53">
        <f t="shared" ref="AA149" si="49">SUM(T149:Z149)</f>
        <v>0</v>
      </c>
      <c r="AB149" s="52">
        <v>2024</v>
      </c>
      <c r="AC149" s="31"/>
    </row>
    <row r="150" spans="1:32" ht="47.25" hidden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67" t="s">
        <v>360</v>
      </c>
      <c r="S150" s="37" t="s">
        <v>37</v>
      </c>
      <c r="T150" s="40">
        <v>0</v>
      </c>
      <c r="U150" s="40">
        <v>0</v>
      </c>
      <c r="V150" s="40">
        <v>0</v>
      </c>
      <c r="W150" s="40">
        <v>0</v>
      </c>
      <c r="X150" s="40">
        <v>0</v>
      </c>
      <c r="Y150" s="40">
        <v>0</v>
      </c>
      <c r="Z150" s="40">
        <v>0</v>
      </c>
      <c r="AA150" s="43">
        <v>0</v>
      </c>
      <c r="AB150" s="37">
        <v>0</v>
      </c>
      <c r="AC150" s="31"/>
    </row>
    <row r="151" spans="1:32" ht="31.5" x14ac:dyDescent="0.25">
      <c r="A151" s="48" t="s">
        <v>18</v>
      </c>
      <c r="B151" s="48" t="s">
        <v>19</v>
      </c>
      <c r="C151" s="48" t="s">
        <v>20</v>
      </c>
      <c r="D151" s="48" t="s">
        <v>18</v>
      </c>
      <c r="E151" s="48" t="s">
        <v>21</v>
      </c>
      <c r="F151" s="48" t="s">
        <v>18</v>
      </c>
      <c r="G151" s="48" t="s">
        <v>22</v>
      </c>
      <c r="H151" s="48" t="s">
        <v>19</v>
      </c>
      <c r="I151" s="48" t="s">
        <v>24</v>
      </c>
      <c r="J151" s="48" t="s">
        <v>18</v>
      </c>
      <c r="K151" s="48" t="s">
        <v>18</v>
      </c>
      <c r="L151" s="48" t="s">
        <v>19</v>
      </c>
      <c r="M151" s="48" t="s">
        <v>42</v>
      </c>
      <c r="N151" s="48" t="s">
        <v>42</v>
      </c>
      <c r="O151" s="48" t="s">
        <v>42</v>
      </c>
      <c r="P151" s="48" t="s">
        <v>42</v>
      </c>
      <c r="Q151" s="48" t="s">
        <v>42</v>
      </c>
      <c r="R151" s="149" t="s">
        <v>108</v>
      </c>
      <c r="S151" s="82" t="s">
        <v>0</v>
      </c>
      <c r="T151" s="53">
        <f>2300+20572-19997.4-439+45+48+203.1-4</f>
        <v>2727.6999999999985</v>
      </c>
      <c r="U151" s="53">
        <f>7300+715</f>
        <v>8015</v>
      </c>
      <c r="V151" s="53">
        <f>3500+2115-846.5</f>
        <v>4768.5</v>
      </c>
      <c r="W151" s="53">
        <f>5200-9.4-104</f>
        <v>5086.6000000000004</v>
      </c>
      <c r="X151" s="53">
        <f>4333.5+524.5+18.8-10</f>
        <v>4866.8</v>
      </c>
      <c r="Y151" s="53">
        <f>5200-800</f>
        <v>4400</v>
      </c>
      <c r="Z151" s="53">
        <f>6788.7-634</f>
        <v>6154.7</v>
      </c>
      <c r="AA151" s="53">
        <f>SUM(T151:Z151)</f>
        <v>36019.299999999996</v>
      </c>
      <c r="AB151" s="52">
        <v>2024</v>
      </c>
      <c r="AC151" s="110"/>
      <c r="AD151" s="96"/>
      <c r="AE151" s="96"/>
      <c r="AF151" s="96"/>
    </row>
    <row r="152" spans="1:32" s="62" customFormat="1" ht="47.25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67" t="s">
        <v>109</v>
      </c>
      <c r="S152" s="37" t="s">
        <v>48</v>
      </c>
      <c r="T152" s="2">
        <v>8</v>
      </c>
      <c r="U152" s="2">
        <v>10</v>
      </c>
      <c r="V152" s="2">
        <v>10</v>
      </c>
      <c r="W152" s="2">
        <v>10</v>
      </c>
      <c r="X152" s="2">
        <v>10</v>
      </c>
      <c r="Y152" s="2">
        <v>10</v>
      </c>
      <c r="Z152" s="2">
        <v>4</v>
      </c>
      <c r="AA152" s="41">
        <v>4</v>
      </c>
      <c r="AB152" s="37">
        <v>2024</v>
      </c>
      <c r="AC152" s="31"/>
      <c r="AD152" s="89"/>
    </row>
    <row r="153" spans="1:32" ht="31.5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69" t="s">
        <v>110</v>
      </c>
      <c r="S153" s="151" t="s">
        <v>48</v>
      </c>
      <c r="T153" s="2">
        <v>0</v>
      </c>
      <c r="U153" s="2">
        <v>649</v>
      </c>
      <c r="V153" s="2">
        <v>0</v>
      </c>
      <c r="W153" s="2">
        <v>0</v>
      </c>
      <c r="X153" s="2">
        <v>0</v>
      </c>
      <c r="Y153" s="2">
        <v>120</v>
      </c>
      <c r="Z153" s="2">
        <v>0</v>
      </c>
      <c r="AA153" s="41">
        <f>SUM(T153:Z153)</f>
        <v>769</v>
      </c>
      <c r="AB153" s="151">
        <v>2023</v>
      </c>
      <c r="AC153" s="31"/>
      <c r="AD153" s="89"/>
    </row>
    <row r="154" spans="1:32" s="62" customFormat="1" ht="31.5" x14ac:dyDescent="0.25">
      <c r="A154" s="48"/>
      <c r="B154" s="48"/>
      <c r="C154" s="48"/>
      <c r="D154" s="48" t="s">
        <v>18</v>
      </c>
      <c r="E154" s="48" t="s">
        <v>21</v>
      </c>
      <c r="F154" s="48" t="s">
        <v>18</v>
      </c>
      <c r="G154" s="48" t="s">
        <v>22</v>
      </c>
      <c r="H154" s="48" t="s">
        <v>19</v>
      </c>
      <c r="I154" s="48" t="s">
        <v>24</v>
      </c>
      <c r="J154" s="48" t="s">
        <v>18</v>
      </c>
      <c r="K154" s="48" t="s">
        <v>18</v>
      </c>
      <c r="L154" s="48" t="s">
        <v>19</v>
      </c>
      <c r="M154" s="48" t="s">
        <v>42</v>
      </c>
      <c r="N154" s="48" t="s">
        <v>42</v>
      </c>
      <c r="O154" s="48" t="s">
        <v>42</v>
      </c>
      <c r="P154" s="48" t="s">
        <v>42</v>
      </c>
      <c r="Q154" s="48" t="s">
        <v>42</v>
      </c>
      <c r="R154" s="150" t="s">
        <v>111</v>
      </c>
      <c r="S154" s="52" t="s">
        <v>0</v>
      </c>
      <c r="T154" s="53">
        <f>102300-550-5000-1550.7+43.1+12-12</f>
        <v>95242.400000000009</v>
      </c>
      <c r="U154" s="53">
        <f>83000-4000+50</f>
        <v>79050</v>
      </c>
      <c r="V154" s="53">
        <f>89143.1+50</f>
        <v>89193.1</v>
      </c>
      <c r="W154" s="53">
        <f>W163+W157+W159</f>
        <v>90193.1</v>
      </c>
      <c r="X154" s="53">
        <f>X163+X157+X159</f>
        <v>95814.3</v>
      </c>
      <c r="Y154" s="53">
        <f>Y163+Y157+Y159+Y171</f>
        <v>103314.10000000002</v>
      </c>
      <c r="Z154" s="53">
        <f>Z163+Z157+Z159+Z171</f>
        <v>124285.6</v>
      </c>
      <c r="AA154" s="53">
        <f>SUM(T154:Z154)</f>
        <v>677092.6</v>
      </c>
      <c r="AB154" s="52">
        <v>2024</v>
      </c>
      <c r="AC154" s="31"/>
    </row>
    <row r="155" spans="1:32" s="62" customFormat="1" ht="31.5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138" t="s">
        <v>330</v>
      </c>
      <c r="S155" s="37" t="s">
        <v>50</v>
      </c>
      <c r="T155" s="4">
        <v>3.7</v>
      </c>
      <c r="U155" s="4">
        <v>3.8</v>
      </c>
      <c r="V155" s="4">
        <v>3.7</v>
      </c>
      <c r="W155" s="4">
        <f>W164+W160</f>
        <v>3.7</v>
      </c>
      <c r="X155" s="4">
        <f>X164+X160</f>
        <v>3.7</v>
      </c>
      <c r="Y155" s="4">
        <f>Y164+Y160</f>
        <v>3.7</v>
      </c>
      <c r="Z155" s="4">
        <f>Z164+Z160</f>
        <v>3.7</v>
      </c>
      <c r="AA155" s="6">
        <f>Z155</f>
        <v>3.7</v>
      </c>
      <c r="AB155" s="37">
        <v>2024</v>
      </c>
      <c r="AC155" s="31"/>
    </row>
    <row r="156" spans="1:32" s="45" customFormat="1" ht="31.1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67" t="s">
        <v>333</v>
      </c>
      <c r="S156" s="37" t="s">
        <v>50</v>
      </c>
      <c r="T156" s="3">
        <v>2557</v>
      </c>
      <c r="U156" s="3">
        <v>2220.9</v>
      </c>
      <c r="V156" s="3">
        <v>2165.9</v>
      </c>
      <c r="W156" s="3">
        <f>W169+W158+W162</f>
        <v>2189.1</v>
      </c>
      <c r="X156" s="3">
        <f>X169+X158+X162</f>
        <v>2192.6999999999998</v>
      </c>
      <c r="Y156" s="3">
        <f>Y169+Y158+Y172</f>
        <v>2216.5000000000005</v>
      </c>
      <c r="Z156" s="3">
        <f>Z169+Z158+Z162+Z172</f>
        <v>1975.6</v>
      </c>
      <c r="AA156" s="6">
        <f>Z156</f>
        <v>1975.6</v>
      </c>
      <c r="AB156" s="37">
        <v>2024</v>
      </c>
      <c r="AC156" s="31"/>
    </row>
    <row r="157" spans="1:32" s="62" customFormat="1" ht="31.5" x14ac:dyDescent="0.25">
      <c r="A157" s="48" t="s">
        <v>18</v>
      </c>
      <c r="B157" s="48" t="s">
        <v>18</v>
      </c>
      <c r="C157" s="48" t="s">
        <v>24</v>
      </c>
      <c r="D157" s="48" t="s">
        <v>18</v>
      </c>
      <c r="E157" s="48" t="s">
        <v>21</v>
      </c>
      <c r="F157" s="48" t="s">
        <v>18</v>
      </c>
      <c r="G157" s="48" t="s">
        <v>22</v>
      </c>
      <c r="H157" s="48" t="s">
        <v>19</v>
      </c>
      <c r="I157" s="48" t="s">
        <v>24</v>
      </c>
      <c r="J157" s="48" t="s">
        <v>18</v>
      </c>
      <c r="K157" s="48" t="s">
        <v>18</v>
      </c>
      <c r="L157" s="48" t="s">
        <v>19</v>
      </c>
      <c r="M157" s="48" t="s">
        <v>42</v>
      </c>
      <c r="N157" s="48" t="s">
        <v>42</v>
      </c>
      <c r="O157" s="48" t="s">
        <v>42</v>
      </c>
      <c r="P157" s="48" t="s">
        <v>42</v>
      </c>
      <c r="Q157" s="48" t="s">
        <v>42</v>
      </c>
      <c r="R157" s="150" t="s">
        <v>111</v>
      </c>
      <c r="S157" s="49" t="s">
        <v>0</v>
      </c>
      <c r="T157" s="1">
        <v>0</v>
      </c>
      <c r="U157" s="1">
        <v>0</v>
      </c>
      <c r="V157" s="1">
        <v>0</v>
      </c>
      <c r="W157" s="1">
        <v>0</v>
      </c>
      <c r="X157" s="1">
        <f>2266.5-1370.3-18.8</f>
        <v>877.40000000000009</v>
      </c>
      <c r="Y157" s="1">
        <f>2266.5-135.3-400-386.7-150-37.9</f>
        <v>1156.5999999999997</v>
      </c>
      <c r="Z157" s="1">
        <f>2266.5-770-160.7</f>
        <v>1335.8</v>
      </c>
      <c r="AA157" s="53">
        <f>SUM(T157:Z157)</f>
        <v>3369.7999999999997</v>
      </c>
      <c r="AB157" s="52">
        <v>2024</v>
      </c>
      <c r="AC157" s="31"/>
    </row>
    <row r="158" spans="1:32" s="45" customFormat="1" ht="31.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67" t="s">
        <v>331</v>
      </c>
      <c r="S158" s="37" t="s">
        <v>50</v>
      </c>
      <c r="T158" s="3">
        <v>0</v>
      </c>
      <c r="U158" s="3">
        <v>0</v>
      </c>
      <c r="V158" s="3">
        <v>0</v>
      </c>
      <c r="W158" s="3">
        <v>0</v>
      </c>
      <c r="X158" s="3">
        <v>13.3</v>
      </c>
      <c r="Y158" s="3">
        <v>13.3</v>
      </c>
      <c r="Z158" s="3">
        <v>13.6</v>
      </c>
      <c r="AA158" s="6">
        <f>Z158</f>
        <v>13.6</v>
      </c>
      <c r="AB158" s="37">
        <v>2024</v>
      </c>
      <c r="AC158" s="31"/>
    </row>
    <row r="159" spans="1:32" s="62" customFormat="1" ht="31.5" x14ac:dyDescent="0.25">
      <c r="A159" s="48" t="s">
        <v>18</v>
      </c>
      <c r="B159" s="48" t="s">
        <v>18</v>
      </c>
      <c r="C159" s="48" t="s">
        <v>21</v>
      </c>
      <c r="D159" s="48" t="s">
        <v>18</v>
      </c>
      <c r="E159" s="48" t="s">
        <v>21</v>
      </c>
      <c r="F159" s="48" t="s">
        <v>18</v>
      </c>
      <c r="G159" s="48" t="s">
        <v>22</v>
      </c>
      <c r="H159" s="48" t="s">
        <v>19</v>
      </c>
      <c r="I159" s="48" t="s">
        <v>24</v>
      </c>
      <c r="J159" s="48" t="s">
        <v>18</v>
      </c>
      <c r="K159" s="48" t="s">
        <v>18</v>
      </c>
      <c r="L159" s="48" t="s">
        <v>19</v>
      </c>
      <c r="M159" s="48" t="s">
        <v>42</v>
      </c>
      <c r="N159" s="48" t="s">
        <v>42</v>
      </c>
      <c r="O159" s="48" t="s">
        <v>42</v>
      </c>
      <c r="P159" s="48" t="s">
        <v>42</v>
      </c>
      <c r="Q159" s="48" t="s">
        <v>42</v>
      </c>
      <c r="R159" s="150" t="s">
        <v>111</v>
      </c>
      <c r="S159" s="49" t="s">
        <v>0</v>
      </c>
      <c r="T159" s="1">
        <v>0</v>
      </c>
      <c r="U159" s="1">
        <v>0</v>
      </c>
      <c r="V159" s="1">
        <v>0</v>
      </c>
      <c r="W159" s="1">
        <v>0</v>
      </c>
      <c r="X159" s="1">
        <f>2978.4-622.1-622</f>
        <v>1734.3000000000002</v>
      </c>
      <c r="Y159" s="1">
        <f>2978.4-2771.1</f>
        <v>207.30000000000018</v>
      </c>
      <c r="Z159" s="1">
        <f>2978.4-2978.4</f>
        <v>0</v>
      </c>
      <c r="AA159" s="53">
        <f>SUM(T159:Z159)</f>
        <v>1941.6000000000004</v>
      </c>
      <c r="AB159" s="52">
        <v>2023</v>
      </c>
      <c r="AC159" s="31"/>
    </row>
    <row r="160" spans="1:32" s="62" customFormat="1" ht="47.25" hidden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138" t="s">
        <v>332</v>
      </c>
      <c r="S160" s="37" t="s">
        <v>50</v>
      </c>
      <c r="T160" s="3">
        <v>0</v>
      </c>
      <c r="U160" s="3">
        <v>0</v>
      </c>
      <c r="V160" s="3">
        <v>0</v>
      </c>
      <c r="W160" s="3">
        <v>0</v>
      </c>
      <c r="X160" s="4">
        <v>0</v>
      </c>
      <c r="Y160" s="4">
        <v>0</v>
      </c>
      <c r="Z160" s="4">
        <v>0</v>
      </c>
      <c r="AA160" s="6">
        <f>Z160</f>
        <v>0</v>
      </c>
      <c r="AB160" s="37">
        <v>2024</v>
      </c>
      <c r="AC160" s="31"/>
    </row>
    <row r="161" spans="1:32" s="45" customFormat="1" ht="31.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69" t="s">
        <v>343</v>
      </c>
      <c r="S161" s="151" t="s">
        <v>33</v>
      </c>
      <c r="T161" s="3">
        <v>0</v>
      </c>
      <c r="U161" s="3">
        <v>0</v>
      </c>
      <c r="V161" s="3">
        <v>0</v>
      </c>
      <c r="W161" s="3">
        <v>0</v>
      </c>
      <c r="X161" s="3">
        <v>24.7</v>
      </c>
      <c r="Y161" s="3">
        <v>0</v>
      </c>
      <c r="Z161" s="3">
        <v>0</v>
      </c>
      <c r="AA161" s="6">
        <f t="shared" ref="AA161:AA162" si="50">X161</f>
        <v>24.7</v>
      </c>
      <c r="AB161" s="37">
        <v>2022</v>
      </c>
      <c r="AC161" s="110"/>
      <c r="AD161" s="89"/>
    </row>
    <row r="162" spans="1:32" s="45" customFormat="1" ht="31.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67" t="s">
        <v>344</v>
      </c>
      <c r="S162" s="37" t="s">
        <v>50</v>
      </c>
      <c r="T162" s="3">
        <v>0</v>
      </c>
      <c r="U162" s="3">
        <v>0</v>
      </c>
      <c r="V162" s="3">
        <v>0</v>
      </c>
      <c r="W162" s="3">
        <v>0</v>
      </c>
      <c r="X162" s="3">
        <v>11.2</v>
      </c>
      <c r="Y162" s="3">
        <v>11.2</v>
      </c>
      <c r="Z162" s="3">
        <v>0</v>
      </c>
      <c r="AA162" s="6">
        <f t="shared" si="50"/>
        <v>11.2</v>
      </c>
      <c r="AB162" s="37">
        <v>2023</v>
      </c>
      <c r="AC162" s="31"/>
    </row>
    <row r="163" spans="1:32" s="62" customFormat="1" ht="31.5" x14ac:dyDescent="0.25">
      <c r="A163" s="48" t="s">
        <v>18</v>
      </c>
      <c r="B163" s="48" t="s">
        <v>19</v>
      </c>
      <c r="C163" s="48" t="s">
        <v>20</v>
      </c>
      <c r="D163" s="48" t="s">
        <v>18</v>
      </c>
      <c r="E163" s="48" t="s">
        <v>21</v>
      </c>
      <c r="F163" s="48" t="s">
        <v>18</v>
      </c>
      <c r="G163" s="48" t="s">
        <v>22</v>
      </c>
      <c r="H163" s="48" t="s">
        <v>19</v>
      </c>
      <c r="I163" s="48" t="s">
        <v>24</v>
      </c>
      <c r="J163" s="48" t="s">
        <v>18</v>
      </c>
      <c r="K163" s="48" t="s">
        <v>18</v>
      </c>
      <c r="L163" s="48" t="s">
        <v>19</v>
      </c>
      <c r="M163" s="48" t="s">
        <v>42</v>
      </c>
      <c r="N163" s="48" t="s">
        <v>42</v>
      </c>
      <c r="O163" s="48" t="s">
        <v>42</v>
      </c>
      <c r="P163" s="48" t="s">
        <v>42</v>
      </c>
      <c r="Q163" s="48" t="s">
        <v>42</v>
      </c>
      <c r="R163" s="150" t="s">
        <v>111</v>
      </c>
      <c r="S163" s="49" t="s">
        <v>0</v>
      </c>
      <c r="T163" s="1">
        <f>102300-550-5000-1550.7+43.1+12-12</f>
        <v>95242.400000000009</v>
      </c>
      <c r="U163" s="1">
        <f>83000-4000+50</f>
        <v>79050</v>
      </c>
      <c r="V163" s="1">
        <f>89143.1+50</f>
        <v>89193.1</v>
      </c>
      <c r="W163" s="1">
        <f>89143.1+50+1000</f>
        <v>90193.1</v>
      </c>
      <c r="X163" s="1">
        <v>93202.6</v>
      </c>
      <c r="Y163" s="1">
        <f>99143.1+31.2+4.8</f>
        <v>99179.1</v>
      </c>
      <c r="Z163" s="1">
        <f>102643.1+13093.2+4000+235.1</f>
        <v>119971.40000000001</v>
      </c>
      <c r="AA163" s="53">
        <f>SUM(T163:Z163)</f>
        <v>666031.69999999995</v>
      </c>
      <c r="AB163" s="52">
        <v>2024</v>
      </c>
      <c r="AC163" s="31"/>
    </row>
    <row r="164" spans="1:32" s="62" customFormat="1" ht="47.25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138" t="s">
        <v>345</v>
      </c>
      <c r="S164" s="37" t="s">
        <v>50</v>
      </c>
      <c r="T164" s="4">
        <v>3.7</v>
      </c>
      <c r="U164" s="4">
        <v>3.8</v>
      </c>
      <c r="V164" s="4">
        <v>3.7</v>
      </c>
      <c r="W164" s="4">
        <v>3.7</v>
      </c>
      <c r="X164" s="4">
        <v>3.7</v>
      </c>
      <c r="Y164" s="4">
        <v>3.7</v>
      </c>
      <c r="Z164" s="4">
        <v>3.7</v>
      </c>
      <c r="AA164" s="6">
        <v>3.7</v>
      </c>
      <c r="AB164" s="37">
        <v>2024</v>
      </c>
      <c r="AC164" s="31"/>
    </row>
    <row r="165" spans="1:32" ht="47.25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67" t="s">
        <v>346</v>
      </c>
      <c r="S165" s="37" t="s">
        <v>48</v>
      </c>
      <c r="T165" s="40">
        <v>87</v>
      </c>
      <c r="U165" s="40">
        <v>74</v>
      </c>
      <c r="V165" s="40">
        <v>74</v>
      </c>
      <c r="W165" s="40">
        <v>70</v>
      </c>
      <c r="X165" s="40">
        <v>70</v>
      </c>
      <c r="Y165" s="40">
        <v>70</v>
      </c>
      <c r="Z165" s="40">
        <v>66</v>
      </c>
      <c r="AA165" s="43">
        <f>Z165</f>
        <v>66</v>
      </c>
      <c r="AB165" s="37">
        <v>2024</v>
      </c>
      <c r="AC165" s="110"/>
      <c r="AD165" s="89"/>
    </row>
    <row r="166" spans="1:32" ht="47.4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69" t="s">
        <v>347</v>
      </c>
      <c r="S166" s="151" t="s">
        <v>48</v>
      </c>
      <c r="T166" s="2">
        <v>2400</v>
      </c>
      <c r="U166" s="40">
        <v>2400</v>
      </c>
      <c r="V166" s="40">
        <v>4059</v>
      </c>
      <c r="W166" s="40">
        <v>3100</v>
      </c>
      <c r="X166" s="40">
        <v>3513</v>
      </c>
      <c r="Y166" s="40">
        <v>4100</v>
      </c>
      <c r="Z166" s="40">
        <v>3100</v>
      </c>
      <c r="AA166" s="43">
        <f>SUM(T166:Z166)</f>
        <v>22672</v>
      </c>
      <c r="AB166" s="37">
        <v>2024</v>
      </c>
      <c r="AC166" s="110"/>
      <c r="AD166" s="89"/>
    </row>
    <row r="167" spans="1:32" ht="31.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69" t="s">
        <v>348</v>
      </c>
      <c r="S167" s="151" t="s">
        <v>32</v>
      </c>
      <c r="T167" s="4">
        <v>12100</v>
      </c>
      <c r="U167" s="3">
        <v>11300</v>
      </c>
      <c r="V167" s="3">
        <v>16000</v>
      </c>
      <c r="W167" s="3">
        <v>13499</v>
      </c>
      <c r="X167" s="3">
        <v>13000</v>
      </c>
      <c r="Y167" s="3">
        <v>14400</v>
      </c>
      <c r="Z167" s="3">
        <v>10000</v>
      </c>
      <c r="AA167" s="43">
        <f t="shared" ref="AA167:AA168" si="51">SUM(T167:Z167)</f>
        <v>90299</v>
      </c>
      <c r="AB167" s="37">
        <v>2024</v>
      </c>
      <c r="AC167" s="110"/>
      <c r="AD167" s="89"/>
    </row>
    <row r="168" spans="1:32" s="45" customFormat="1" ht="47.25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69" t="s">
        <v>349</v>
      </c>
      <c r="S168" s="151" t="s">
        <v>33</v>
      </c>
      <c r="T168" s="4">
        <v>8969</v>
      </c>
      <c r="U168" s="3">
        <v>9945</v>
      </c>
      <c r="V168" s="3">
        <v>10275</v>
      </c>
      <c r="W168" s="3">
        <v>10690</v>
      </c>
      <c r="X168" s="3">
        <v>10883</v>
      </c>
      <c r="Y168" s="3">
        <v>8750</v>
      </c>
      <c r="Z168" s="3">
        <v>10330</v>
      </c>
      <c r="AA168" s="43">
        <f t="shared" si="51"/>
        <v>69842</v>
      </c>
      <c r="AB168" s="37">
        <v>2024</v>
      </c>
      <c r="AC168" s="110"/>
      <c r="AD168" s="89"/>
    </row>
    <row r="169" spans="1:32" s="45" customFormat="1" ht="47.25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67" t="s">
        <v>350</v>
      </c>
      <c r="S169" s="37" t="s">
        <v>50</v>
      </c>
      <c r="T169" s="3">
        <v>2557</v>
      </c>
      <c r="U169" s="3">
        <v>2220.9</v>
      </c>
      <c r="V169" s="3">
        <v>2165.9</v>
      </c>
      <c r="W169" s="3">
        <v>2189.1</v>
      </c>
      <c r="X169" s="3">
        <v>2168.1999999999998</v>
      </c>
      <c r="Y169" s="3">
        <v>2170.8000000000002</v>
      </c>
      <c r="Z169" s="3">
        <v>1929.6</v>
      </c>
      <c r="AA169" s="6">
        <f>Z169</f>
        <v>1929.6</v>
      </c>
      <c r="AB169" s="37">
        <v>2024</v>
      </c>
      <c r="AC169" s="31"/>
    </row>
    <row r="170" spans="1:32" ht="46.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138" t="s">
        <v>351</v>
      </c>
      <c r="S170" s="37" t="s">
        <v>35</v>
      </c>
      <c r="T170" s="40">
        <v>247</v>
      </c>
      <c r="U170" s="40">
        <v>247</v>
      </c>
      <c r="V170" s="40">
        <v>249</v>
      </c>
      <c r="W170" s="40">
        <v>247</v>
      </c>
      <c r="X170" s="40">
        <v>247</v>
      </c>
      <c r="Y170" s="40">
        <v>247</v>
      </c>
      <c r="Z170" s="40">
        <v>248</v>
      </c>
      <c r="AA170" s="43">
        <f>SUM(T170:Z170)</f>
        <v>1732</v>
      </c>
      <c r="AB170" s="37">
        <v>2024</v>
      </c>
      <c r="AC170" s="31"/>
    </row>
    <row r="171" spans="1:32" s="62" customFormat="1" ht="31.5" x14ac:dyDescent="0.25">
      <c r="A171" s="48" t="s">
        <v>18</v>
      </c>
      <c r="B171" s="48" t="s">
        <v>19</v>
      </c>
      <c r="C171" s="48" t="s">
        <v>24</v>
      </c>
      <c r="D171" s="48" t="s">
        <v>18</v>
      </c>
      <c r="E171" s="48" t="s">
        <v>21</v>
      </c>
      <c r="F171" s="48" t="s">
        <v>18</v>
      </c>
      <c r="G171" s="48" t="s">
        <v>22</v>
      </c>
      <c r="H171" s="48" t="s">
        <v>19</v>
      </c>
      <c r="I171" s="48" t="s">
        <v>24</v>
      </c>
      <c r="J171" s="48" t="s">
        <v>18</v>
      </c>
      <c r="K171" s="48" t="s">
        <v>18</v>
      </c>
      <c r="L171" s="48" t="s">
        <v>19</v>
      </c>
      <c r="M171" s="48" t="s">
        <v>42</v>
      </c>
      <c r="N171" s="48" t="s">
        <v>42</v>
      </c>
      <c r="O171" s="48" t="s">
        <v>42</v>
      </c>
      <c r="P171" s="48" t="s">
        <v>42</v>
      </c>
      <c r="Q171" s="48" t="s">
        <v>42</v>
      </c>
      <c r="R171" s="150" t="s">
        <v>111</v>
      </c>
      <c r="S171" s="49" t="s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2771.1</v>
      </c>
      <c r="Z171" s="1">
        <v>2978.4</v>
      </c>
      <c r="AA171" s="53">
        <f>SUM(T171:Z171)</f>
        <v>5749.5</v>
      </c>
      <c r="AB171" s="52">
        <v>2024</v>
      </c>
      <c r="AC171" s="31"/>
    </row>
    <row r="172" spans="1:32" s="45" customFormat="1" ht="31.5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67" t="s">
        <v>352</v>
      </c>
      <c r="S172" s="37" t="s">
        <v>50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32.4</v>
      </c>
      <c r="Z172" s="3">
        <v>32.4</v>
      </c>
      <c r="AA172" s="6">
        <f>Z172</f>
        <v>32.4</v>
      </c>
      <c r="AB172" s="37">
        <v>2024</v>
      </c>
      <c r="AC172" s="31"/>
    </row>
    <row r="173" spans="1:32" ht="31.5" x14ac:dyDescent="0.25">
      <c r="A173" s="48" t="s">
        <v>18</v>
      </c>
      <c r="B173" s="48" t="s">
        <v>19</v>
      </c>
      <c r="C173" s="48" t="s">
        <v>24</v>
      </c>
      <c r="D173" s="48" t="s">
        <v>18</v>
      </c>
      <c r="E173" s="48" t="s">
        <v>21</v>
      </c>
      <c r="F173" s="48" t="s">
        <v>18</v>
      </c>
      <c r="G173" s="48" t="s">
        <v>22</v>
      </c>
      <c r="H173" s="48" t="s">
        <v>19</v>
      </c>
      <c r="I173" s="48" t="s">
        <v>24</v>
      </c>
      <c r="J173" s="48" t="s">
        <v>18</v>
      </c>
      <c r="K173" s="48" t="s">
        <v>18</v>
      </c>
      <c r="L173" s="48" t="s">
        <v>19</v>
      </c>
      <c r="M173" s="48" t="s">
        <v>42</v>
      </c>
      <c r="N173" s="48" t="s">
        <v>42</v>
      </c>
      <c r="O173" s="48" t="s">
        <v>42</v>
      </c>
      <c r="P173" s="48" t="s">
        <v>42</v>
      </c>
      <c r="Q173" s="48" t="s">
        <v>42</v>
      </c>
      <c r="R173" s="66" t="s">
        <v>112</v>
      </c>
      <c r="S173" s="82" t="s">
        <v>0</v>
      </c>
      <c r="T173" s="53">
        <f>0+236</f>
        <v>236</v>
      </c>
      <c r="U173" s="53">
        <f>1036-229-48-141.6</f>
        <v>617.4</v>
      </c>
      <c r="V173" s="53">
        <f>1036-150-281.7-227.2</f>
        <v>377.09999999999997</v>
      </c>
      <c r="W173" s="53">
        <f>886-30-328.2</f>
        <v>527.79999999999995</v>
      </c>
      <c r="X173" s="53">
        <f>886-30-80-535.2</f>
        <v>240.79999999999995</v>
      </c>
      <c r="Y173" s="53">
        <f>886-75-471.1</f>
        <v>339.9</v>
      </c>
      <c r="Z173" s="53">
        <f>886-491.1</f>
        <v>394.9</v>
      </c>
      <c r="AA173" s="53">
        <f>SUM(T173:Z173)</f>
        <v>2733.9</v>
      </c>
      <c r="AB173" s="52">
        <v>2024</v>
      </c>
      <c r="AC173" s="31"/>
    </row>
    <row r="174" spans="1:32" ht="30.6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69" t="s">
        <v>113</v>
      </c>
      <c r="S174" s="151" t="s">
        <v>48</v>
      </c>
      <c r="T174" s="2">
        <v>0</v>
      </c>
      <c r="U174" s="2">
        <v>1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43">
        <f>SUM(U174:Z174)</f>
        <v>1</v>
      </c>
      <c r="AB174" s="37">
        <v>2019</v>
      </c>
      <c r="AC174" s="110"/>
      <c r="AD174" s="96"/>
      <c r="AE174" s="96"/>
      <c r="AF174" s="96"/>
    </row>
    <row r="175" spans="1:32" ht="31.5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69" t="s">
        <v>163</v>
      </c>
      <c r="S175" s="151" t="s">
        <v>48</v>
      </c>
      <c r="T175" s="2">
        <v>3</v>
      </c>
      <c r="U175" s="2">
        <f>5-1</f>
        <v>4</v>
      </c>
      <c r="V175" s="2">
        <f t="shared" ref="V175:Z175" si="52">5-1</f>
        <v>4</v>
      </c>
      <c r="W175" s="2">
        <f t="shared" si="52"/>
        <v>4</v>
      </c>
      <c r="X175" s="2">
        <f t="shared" si="52"/>
        <v>4</v>
      </c>
      <c r="Y175" s="2">
        <f t="shared" si="52"/>
        <v>4</v>
      </c>
      <c r="Z175" s="2">
        <f t="shared" si="52"/>
        <v>4</v>
      </c>
      <c r="AA175" s="43">
        <v>4</v>
      </c>
      <c r="AB175" s="37">
        <v>2024</v>
      </c>
      <c r="AC175" s="31"/>
      <c r="AD175" s="96"/>
      <c r="AE175" s="96"/>
      <c r="AF175" s="96"/>
    </row>
    <row r="176" spans="1:32" ht="31.5" x14ac:dyDescent="0.25">
      <c r="A176" s="48" t="s">
        <v>18</v>
      </c>
      <c r="B176" s="48" t="s">
        <v>19</v>
      </c>
      <c r="C176" s="48" t="s">
        <v>20</v>
      </c>
      <c r="D176" s="48" t="s">
        <v>18</v>
      </c>
      <c r="E176" s="48" t="s">
        <v>21</v>
      </c>
      <c r="F176" s="48" t="s">
        <v>18</v>
      </c>
      <c r="G176" s="48" t="s">
        <v>22</v>
      </c>
      <c r="H176" s="48" t="s">
        <v>19</v>
      </c>
      <c r="I176" s="48" t="s">
        <v>24</v>
      </c>
      <c r="J176" s="48" t="s">
        <v>18</v>
      </c>
      <c r="K176" s="48" t="s">
        <v>18</v>
      </c>
      <c r="L176" s="48" t="s">
        <v>19</v>
      </c>
      <c r="M176" s="48" t="s">
        <v>42</v>
      </c>
      <c r="N176" s="48" t="s">
        <v>42</v>
      </c>
      <c r="O176" s="48" t="s">
        <v>42</v>
      </c>
      <c r="P176" s="48" t="s">
        <v>42</v>
      </c>
      <c r="Q176" s="48" t="s">
        <v>42</v>
      </c>
      <c r="R176" s="66" t="s">
        <v>158</v>
      </c>
      <c r="S176" s="82" t="s">
        <v>0</v>
      </c>
      <c r="T176" s="53">
        <f>0+550+1550.7</f>
        <v>2100.6999999999998</v>
      </c>
      <c r="U176" s="53">
        <f>0+4000</f>
        <v>4000</v>
      </c>
      <c r="V176" s="53">
        <f>0</f>
        <v>0</v>
      </c>
      <c r="W176" s="53">
        <f>0</f>
        <v>0</v>
      </c>
      <c r="X176" s="53">
        <f>3179.1+3307.4-3092.8</f>
        <v>3393.7</v>
      </c>
      <c r="Y176" s="53">
        <f>0</f>
        <v>0</v>
      </c>
      <c r="Z176" s="53">
        <f>18000+13700-235.1+7888.9</f>
        <v>39353.800000000003</v>
      </c>
      <c r="AA176" s="53">
        <f>SUM(T176:Z176)</f>
        <v>48848.200000000004</v>
      </c>
      <c r="AB176" s="52">
        <v>2024</v>
      </c>
      <c r="AC176" s="31"/>
    </row>
    <row r="177" spans="1:32" ht="30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69" t="s">
        <v>157</v>
      </c>
      <c r="S177" s="151" t="s">
        <v>37</v>
      </c>
      <c r="T177" s="2">
        <v>2</v>
      </c>
      <c r="U177" s="2">
        <v>1</v>
      </c>
      <c r="V177" s="2">
        <v>0</v>
      </c>
      <c r="W177" s="2">
        <v>0</v>
      </c>
      <c r="X177" s="2">
        <v>2</v>
      </c>
      <c r="Y177" s="2">
        <v>0</v>
      </c>
      <c r="Z177" s="2">
        <v>3</v>
      </c>
      <c r="AA177" s="43">
        <f>SUM(T177:Z177)</f>
        <v>8</v>
      </c>
      <c r="AB177" s="37">
        <v>2024</v>
      </c>
      <c r="AC177" s="110"/>
      <c r="AD177" s="96"/>
      <c r="AE177" s="96"/>
      <c r="AF177" s="96"/>
    </row>
    <row r="178" spans="1:32" ht="15.6" customHeight="1" x14ac:dyDescent="0.25">
      <c r="A178" s="48"/>
      <c r="B178" s="48"/>
      <c r="C178" s="48"/>
      <c r="D178" s="48" t="s">
        <v>18</v>
      </c>
      <c r="E178" s="48" t="s">
        <v>21</v>
      </c>
      <c r="F178" s="48" t="s">
        <v>18</v>
      </c>
      <c r="G178" s="48" t="s">
        <v>22</v>
      </c>
      <c r="H178" s="48" t="s">
        <v>19</v>
      </c>
      <c r="I178" s="48" t="s">
        <v>24</v>
      </c>
      <c r="J178" s="48" t="s">
        <v>18</v>
      </c>
      <c r="K178" s="48" t="s">
        <v>226</v>
      </c>
      <c r="L178" s="48" t="s">
        <v>20</v>
      </c>
      <c r="M178" s="48" t="s">
        <v>18</v>
      </c>
      <c r="N178" s="48" t="s">
        <v>18</v>
      </c>
      <c r="O178" s="48" t="s">
        <v>18</v>
      </c>
      <c r="P178" s="48" t="s">
        <v>18</v>
      </c>
      <c r="Q178" s="48" t="s">
        <v>18</v>
      </c>
      <c r="R178" s="163" t="s">
        <v>247</v>
      </c>
      <c r="S178" s="155" t="s">
        <v>0</v>
      </c>
      <c r="T178" s="53">
        <v>0</v>
      </c>
      <c r="U178" s="53">
        <f>SUM(U179:U185)</f>
        <v>116632.7</v>
      </c>
      <c r="V178" s="53">
        <f t="shared" ref="V178:Z178" si="53">SUM(V179:V185)</f>
        <v>125649.7</v>
      </c>
      <c r="W178" s="53">
        <f t="shared" si="53"/>
        <v>80922.399999999994</v>
      </c>
      <c r="X178" s="53">
        <f t="shared" si="53"/>
        <v>100500</v>
      </c>
      <c r="Y178" s="53">
        <f t="shared" si="53"/>
        <v>92980.6</v>
      </c>
      <c r="Z178" s="53">
        <f t="shared" si="53"/>
        <v>74555.400000000009</v>
      </c>
      <c r="AA178" s="53">
        <f>SUM(T178:Z178)</f>
        <v>591240.80000000005</v>
      </c>
      <c r="AB178" s="52">
        <v>2024</v>
      </c>
      <c r="AD178" s="91"/>
      <c r="AE178" s="91"/>
    </row>
    <row r="179" spans="1:32" ht="15.75" hidden="1" customHeight="1" x14ac:dyDescent="0.25">
      <c r="A179" s="48" t="s">
        <v>18</v>
      </c>
      <c r="B179" s="48" t="s">
        <v>19</v>
      </c>
      <c r="C179" s="48" t="s">
        <v>20</v>
      </c>
      <c r="D179" s="48" t="s">
        <v>18</v>
      </c>
      <c r="E179" s="48" t="s">
        <v>21</v>
      </c>
      <c r="F179" s="48" t="s">
        <v>18</v>
      </c>
      <c r="G179" s="48" t="s">
        <v>22</v>
      </c>
      <c r="H179" s="48" t="s">
        <v>19</v>
      </c>
      <c r="I179" s="48" t="s">
        <v>24</v>
      </c>
      <c r="J179" s="48" t="s">
        <v>18</v>
      </c>
      <c r="K179" s="48" t="s">
        <v>226</v>
      </c>
      <c r="L179" s="48" t="s">
        <v>20</v>
      </c>
      <c r="M179" s="48" t="s">
        <v>21</v>
      </c>
      <c r="N179" s="48" t="s">
        <v>21</v>
      </c>
      <c r="O179" s="48" t="s">
        <v>21</v>
      </c>
      <c r="P179" s="48" t="s">
        <v>21</v>
      </c>
      <c r="Q179" s="48" t="s">
        <v>19</v>
      </c>
      <c r="R179" s="164"/>
      <c r="S179" s="156"/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53">
        <f>SUM(T179:Z179)</f>
        <v>0</v>
      </c>
      <c r="AB179" s="52">
        <v>2024</v>
      </c>
      <c r="AD179" s="91"/>
      <c r="AE179" s="91"/>
    </row>
    <row r="180" spans="1:32" x14ac:dyDescent="0.25">
      <c r="A180" s="48" t="s">
        <v>18</v>
      </c>
      <c r="B180" s="48" t="s">
        <v>24</v>
      </c>
      <c r="C180" s="48" t="s">
        <v>22</v>
      </c>
      <c r="D180" s="48" t="s">
        <v>18</v>
      </c>
      <c r="E180" s="48" t="s">
        <v>21</v>
      </c>
      <c r="F180" s="48" t="s">
        <v>18</v>
      </c>
      <c r="G180" s="48" t="s">
        <v>22</v>
      </c>
      <c r="H180" s="48" t="s">
        <v>19</v>
      </c>
      <c r="I180" s="48" t="s">
        <v>24</v>
      </c>
      <c r="J180" s="48" t="s">
        <v>18</v>
      </c>
      <c r="K180" s="48" t="s">
        <v>226</v>
      </c>
      <c r="L180" s="48" t="s">
        <v>20</v>
      </c>
      <c r="M180" s="48" t="s">
        <v>21</v>
      </c>
      <c r="N180" s="48" t="s">
        <v>21</v>
      </c>
      <c r="O180" s="48" t="s">
        <v>21</v>
      </c>
      <c r="P180" s="48" t="s">
        <v>21</v>
      </c>
      <c r="Q180" s="48" t="s">
        <v>19</v>
      </c>
      <c r="R180" s="164"/>
      <c r="S180" s="156"/>
      <c r="T180" s="1">
        <v>0</v>
      </c>
      <c r="U180" s="1">
        <f>115690</f>
        <v>115690</v>
      </c>
      <c r="V180" s="1">
        <v>112612.2</v>
      </c>
      <c r="W180" s="1">
        <f>77969.8+435.9</f>
        <v>78405.7</v>
      </c>
      <c r="X180" s="1">
        <f>74023.7+111.3+0.1</f>
        <v>74135.100000000006</v>
      </c>
      <c r="Y180" s="1">
        <v>79298.8</v>
      </c>
      <c r="Z180" s="1">
        <f>68000+686.8</f>
        <v>68686.8</v>
      </c>
      <c r="AA180" s="53">
        <f t="shared" ref="AA180" si="54">SUM(T180:Z180)</f>
        <v>528828.6</v>
      </c>
      <c r="AB180" s="52">
        <v>2024</v>
      </c>
      <c r="AD180" s="91"/>
      <c r="AE180" s="91"/>
    </row>
    <row r="181" spans="1:32" ht="15.6" hidden="1" customHeight="1" x14ac:dyDescent="0.25">
      <c r="A181" s="48" t="s">
        <v>18</v>
      </c>
      <c r="B181" s="48" t="s">
        <v>19</v>
      </c>
      <c r="C181" s="48" t="s">
        <v>20</v>
      </c>
      <c r="D181" s="48" t="s">
        <v>18</v>
      </c>
      <c r="E181" s="48" t="s">
        <v>21</v>
      </c>
      <c r="F181" s="48" t="s">
        <v>18</v>
      </c>
      <c r="G181" s="48" t="s">
        <v>22</v>
      </c>
      <c r="H181" s="48" t="s">
        <v>19</v>
      </c>
      <c r="I181" s="48" t="s">
        <v>24</v>
      </c>
      <c r="J181" s="48" t="s">
        <v>18</v>
      </c>
      <c r="K181" s="48" t="s">
        <v>18</v>
      </c>
      <c r="L181" s="48" t="s">
        <v>19</v>
      </c>
      <c r="M181" s="48" t="s">
        <v>42</v>
      </c>
      <c r="N181" s="48" t="s">
        <v>42</v>
      </c>
      <c r="O181" s="48" t="s">
        <v>42</v>
      </c>
      <c r="P181" s="48" t="s">
        <v>42</v>
      </c>
      <c r="Q181" s="48" t="s">
        <v>42</v>
      </c>
      <c r="R181" s="164"/>
      <c r="S181" s="156"/>
      <c r="T181" s="1">
        <v>0</v>
      </c>
      <c r="U181" s="1">
        <f>840+131.2-50-921.2</f>
        <v>0</v>
      </c>
      <c r="V181" s="1">
        <f>150+100+100-350</f>
        <v>0</v>
      </c>
      <c r="W181" s="1">
        <v>0</v>
      </c>
      <c r="X181" s="1">
        <v>0</v>
      </c>
      <c r="Y181" s="1">
        <v>0</v>
      </c>
      <c r="Z181" s="1">
        <v>0</v>
      </c>
      <c r="AA181" s="53">
        <f t="shared" ref="AA181" si="55">SUM(T181:Z181)</f>
        <v>0</v>
      </c>
      <c r="AB181" s="52">
        <v>2020</v>
      </c>
      <c r="AD181" s="91"/>
      <c r="AE181" s="91"/>
    </row>
    <row r="182" spans="1:32" x14ac:dyDescent="0.25">
      <c r="A182" s="48" t="s">
        <v>18</v>
      </c>
      <c r="B182" s="48" t="s">
        <v>24</v>
      </c>
      <c r="C182" s="48" t="s">
        <v>22</v>
      </c>
      <c r="D182" s="48" t="s">
        <v>18</v>
      </c>
      <c r="E182" s="48" t="s">
        <v>21</v>
      </c>
      <c r="F182" s="48" t="s">
        <v>18</v>
      </c>
      <c r="G182" s="48" t="s">
        <v>22</v>
      </c>
      <c r="H182" s="48" t="s">
        <v>19</v>
      </c>
      <c r="I182" s="48" t="s">
        <v>24</v>
      </c>
      <c r="J182" s="48" t="s">
        <v>18</v>
      </c>
      <c r="K182" s="48" t="s">
        <v>226</v>
      </c>
      <c r="L182" s="48" t="s">
        <v>18</v>
      </c>
      <c r="M182" s="48" t="s">
        <v>18</v>
      </c>
      <c r="N182" s="48" t="s">
        <v>21</v>
      </c>
      <c r="O182" s="48" t="s">
        <v>21</v>
      </c>
      <c r="P182" s="48" t="s">
        <v>21</v>
      </c>
      <c r="Q182" s="48" t="s">
        <v>19</v>
      </c>
      <c r="R182" s="164"/>
      <c r="S182" s="156"/>
      <c r="T182" s="1">
        <v>0</v>
      </c>
      <c r="U182" s="1">
        <f>2865.5-1232.8-690</f>
        <v>942.7</v>
      </c>
      <c r="V182" s="1">
        <v>4437.5</v>
      </c>
      <c r="W182" s="1">
        <f>4265.6-1748.9</f>
        <v>2516.7000000000003</v>
      </c>
      <c r="X182" s="1">
        <f>6584.3+9447.3-0.1</f>
        <v>16031.499999999998</v>
      </c>
      <c r="Y182" s="1">
        <f>9207+15374.8-10900</f>
        <v>13681.8</v>
      </c>
      <c r="Z182" s="1">
        <v>0</v>
      </c>
      <c r="AA182" s="53">
        <f>SUM(T182:Z182)</f>
        <v>37610.199999999997</v>
      </c>
      <c r="AB182" s="52">
        <v>2024</v>
      </c>
      <c r="AD182" s="91"/>
      <c r="AE182" s="91"/>
    </row>
    <row r="183" spans="1:32" x14ac:dyDescent="0.25">
      <c r="A183" s="48" t="s">
        <v>18</v>
      </c>
      <c r="B183" s="48" t="s">
        <v>24</v>
      </c>
      <c r="C183" s="48" t="s">
        <v>22</v>
      </c>
      <c r="D183" s="48" t="s">
        <v>18</v>
      </c>
      <c r="E183" s="48" t="s">
        <v>21</v>
      </c>
      <c r="F183" s="48" t="s">
        <v>18</v>
      </c>
      <c r="G183" s="48" t="s">
        <v>22</v>
      </c>
      <c r="H183" s="48" t="s">
        <v>19</v>
      </c>
      <c r="I183" s="48" t="s">
        <v>24</v>
      </c>
      <c r="J183" s="48" t="s">
        <v>18</v>
      </c>
      <c r="K183" s="48" t="s">
        <v>226</v>
      </c>
      <c r="L183" s="48" t="s">
        <v>20</v>
      </c>
      <c r="M183" s="48" t="s">
        <v>374</v>
      </c>
      <c r="N183" s="48" t="s">
        <v>21</v>
      </c>
      <c r="O183" s="48" t="s">
        <v>21</v>
      </c>
      <c r="P183" s="48" t="s">
        <v>21</v>
      </c>
      <c r="Q183" s="48" t="s">
        <v>19</v>
      </c>
      <c r="R183" s="164"/>
      <c r="S183" s="156"/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f>9313.2-3444.6</f>
        <v>5868.6</v>
      </c>
      <c r="AA183" s="53">
        <f>SUM(T183:Z183)</f>
        <v>5868.6</v>
      </c>
      <c r="AB183" s="52">
        <v>2024</v>
      </c>
      <c r="AD183" s="91"/>
      <c r="AE183" s="91"/>
    </row>
    <row r="184" spans="1:32" x14ac:dyDescent="0.25">
      <c r="A184" s="48" t="s">
        <v>18</v>
      </c>
      <c r="B184" s="48" t="s">
        <v>24</v>
      </c>
      <c r="C184" s="48" t="s">
        <v>22</v>
      </c>
      <c r="D184" s="48" t="s">
        <v>18</v>
      </c>
      <c r="E184" s="48" t="s">
        <v>21</v>
      </c>
      <c r="F184" s="48" t="s">
        <v>18</v>
      </c>
      <c r="G184" s="48" t="s">
        <v>21</v>
      </c>
      <c r="H184" s="48" t="s">
        <v>19</v>
      </c>
      <c r="I184" s="48" t="s">
        <v>24</v>
      </c>
      <c r="J184" s="48" t="s">
        <v>18</v>
      </c>
      <c r="K184" s="48" t="s">
        <v>226</v>
      </c>
      <c r="L184" s="48" t="s">
        <v>20</v>
      </c>
      <c r="M184" s="48" t="s">
        <v>21</v>
      </c>
      <c r="N184" s="48" t="s">
        <v>21</v>
      </c>
      <c r="O184" s="48" t="s">
        <v>21</v>
      </c>
      <c r="P184" s="48" t="s">
        <v>21</v>
      </c>
      <c r="Q184" s="48" t="s">
        <v>19</v>
      </c>
      <c r="R184" s="164"/>
      <c r="S184" s="156"/>
      <c r="T184" s="1">
        <v>0</v>
      </c>
      <c r="U184" s="1">
        <v>0</v>
      </c>
      <c r="V184" s="1">
        <v>8600</v>
      </c>
      <c r="W184" s="1">
        <v>0</v>
      </c>
      <c r="X184" s="1">
        <v>0</v>
      </c>
      <c r="Y184" s="1">
        <v>0</v>
      </c>
      <c r="Z184" s="1">
        <v>0</v>
      </c>
      <c r="AA184" s="53">
        <f t="shared" ref="AA184:AA185" si="56">SUM(T184:Z184)</f>
        <v>8600</v>
      </c>
      <c r="AB184" s="52">
        <v>2020</v>
      </c>
      <c r="AD184" s="91"/>
      <c r="AE184" s="91"/>
    </row>
    <row r="185" spans="1:32" x14ac:dyDescent="0.25">
      <c r="A185" s="48" t="s">
        <v>18</v>
      </c>
      <c r="B185" s="48" t="s">
        <v>24</v>
      </c>
      <c r="C185" s="48" t="s">
        <v>22</v>
      </c>
      <c r="D185" s="48" t="s">
        <v>18</v>
      </c>
      <c r="E185" s="48" t="s">
        <v>21</v>
      </c>
      <c r="F185" s="48" t="s">
        <v>18</v>
      </c>
      <c r="G185" s="48" t="s">
        <v>22</v>
      </c>
      <c r="H185" s="48" t="s">
        <v>19</v>
      </c>
      <c r="I185" s="48" t="s">
        <v>24</v>
      </c>
      <c r="J185" s="48" t="s">
        <v>18</v>
      </c>
      <c r="K185" s="48" t="s">
        <v>18</v>
      </c>
      <c r="L185" s="48" t="s">
        <v>19</v>
      </c>
      <c r="M185" s="48" t="s">
        <v>18</v>
      </c>
      <c r="N185" s="48" t="s">
        <v>19</v>
      </c>
      <c r="O185" s="48" t="s">
        <v>24</v>
      </c>
      <c r="P185" s="48" t="s">
        <v>18</v>
      </c>
      <c r="Q185" s="48" t="s">
        <v>18</v>
      </c>
      <c r="R185" s="165"/>
      <c r="S185" s="171"/>
      <c r="T185" s="1">
        <v>0</v>
      </c>
      <c r="U185" s="1">
        <v>0</v>
      </c>
      <c r="V185" s="1">
        <v>0</v>
      </c>
      <c r="W185" s="1">
        <v>0</v>
      </c>
      <c r="X185" s="1">
        <v>10333.4</v>
      </c>
      <c r="Y185" s="1">
        <v>0</v>
      </c>
      <c r="Z185" s="1">
        <v>0</v>
      </c>
      <c r="AA185" s="53">
        <f t="shared" si="56"/>
        <v>10333.4</v>
      </c>
      <c r="AB185" s="52">
        <v>2022</v>
      </c>
      <c r="AD185" s="91"/>
      <c r="AE185" s="91"/>
    </row>
    <row r="186" spans="1:32" ht="31.5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69" t="s">
        <v>71</v>
      </c>
      <c r="S186" s="55" t="s">
        <v>37</v>
      </c>
      <c r="T186" s="2">
        <v>0</v>
      </c>
      <c r="U186" s="2">
        <v>6</v>
      </c>
      <c r="V186" s="40">
        <v>4</v>
      </c>
      <c r="W186" s="40">
        <v>2</v>
      </c>
      <c r="X186" s="40">
        <v>3</v>
      </c>
      <c r="Y186" s="2">
        <v>2</v>
      </c>
      <c r="Z186" s="2">
        <v>1</v>
      </c>
      <c r="AA186" s="43">
        <f>SUM(T186:Z186)</f>
        <v>18</v>
      </c>
      <c r="AB186" s="151">
        <v>2024</v>
      </c>
      <c r="AD186" s="91"/>
      <c r="AE186" s="91"/>
    </row>
    <row r="187" spans="1:32" ht="31.1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69" t="s">
        <v>72</v>
      </c>
      <c r="S187" s="55" t="s">
        <v>50</v>
      </c>
      <c r="T187" s="4">
        <v>0</v>
      </c>
      <c r="U187" s="4">
        <v>58.4</v>
      </c>
      <c r="V187" s="3">
        <f>33.1+13.1</f>
        <v>46.2</v>
      </c>
      <c r="W187" s="3">
        <f>37.9+28.5</f>
        <v>66.400000000000006</v>
      </c>
      <c r="X187" s="3">
        <f>12.5+16.5+28.5</f>
        <v>57.5</v>
      </c>
      <c r="Y187" s="4">
        <f>16.5+5.3</f>
        <v>21.8</v>
      </c>
      <c r="Z187" s="4">
        <v>3.1</v>
      </c>
      <c r="AA187" s="6">
        <f>SUM(T187:Z187)</f>
        <v>253.4</v>
      </c>
      <c r="AB187" s="37">
        <v>2024</v>
      </c>
      <c r="AD187" s="91"/>
      <c r="AE187" s="91"/>
    </row>
    <row r="188" spans="1:32" ht="31.5" x14ac:dyDescent="0.25">
      <c r="A188" s="48" t="s">
        <v>18</v>
      </c>
      <c r="B188" s="48" t="s">
        <v>18</v>
      </c>
      <c r="C188" s="48" t="s">
        <v>25</v>
      </c>
      <c r="D188" s="48" t="s">
        <v>18</v>
      </c>
      <c r="E188" s="48" t="s">
        <v>21</v>
      </c>
      <c r="F188" s="48" t="s">
        <v>18</v>
      </c>
      <c r="G188" s="48" t="s">
        <v>22</v>
      </c>
      <c r="H188" s="48" t="s">
        <v>19</v>
      </c>
      <c r="I188" s="48" t="s">
        <v>24</v>
      </c>
      <c r="J188" s="48" t="s">
        <v>18</v>
      </c>
      <c r="K188" s="48" t="s">
        <v>18</v>
      </c>
      <c r="L188" s="48" t="s">
        <v>19</v>
      </c>
      <c r="M188" s="48" t="s">
        <v>19</v>
      </c>
      <c r="N188" s="48" t="s">
        <v>19</v>
      </c>
      <c r="O188" s="48" t="s">
        <v>19</v>
      </c>
      <c r="P188" s="48" t="s">
        <v>161</v>
      </c>
      <c r="Q188" s="48" t="s">
        <v>18</v>
      </c>
      <c r="R188" s="66" t="s">
        <v>291</v>
      </c>
      <c r="S188" s="49" t="s">
        <v>0</v>
      </c>
      <c r="T188" s="53">
        <v>0</v>
      </c>
      <c r="U188" s="53">
        <f>103354.8-103354.8</f>
        <v>0</v>
      </c>
      <c r="V188" s="53">
        <v>1000</v>
      </c>
      <c r="W188" s="53">
        <v>0</v>
      </c>
      <c r="X188" s="53">
        <v>0</v>
      </c>
      <c r="Y188" s="53">
        <v>0</v>
      </c>
      <c r="Z188" s="53">
        <v>0</v>
      </c>
      <c r="AA188" s="53">
        <f>SUM(T188:Y188)</f>
        <v>1000</v>
      </c>
      <c r="AB188" s="52">
        <v>2020</v>
      </c>
      <c r="AD188" s="91"/>
      <c r="AE188" s="91"/>
    </row>
    <row r="189" spans="1:32" ht="31.5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67" t="s">
        <v>290</v>
      </c>
      <c r="S189" s="37" t="s">
        <v>37</v>
      </c>
      <c r="T189" s="40">
        <v>0</v>
      </c>
      <c r="U189" s="40">
        <v>0</v>
      </c>
      <c r="V189" s="40">
        <v>1</v>
      </c>
      <c r="W189" s="40">
        <v>0</v>
      </c>
      <c r="X189" s="40">
        <v>0</v>
      </c>
      <c r="Y189" s="40">
        <v>0</v>
      </c>
      <c r="Z189" s="40">
        <v>0</v>
      </c>
      <c r="AA189" s="43">
        <f t="shared" ref="AA189" si="57">SUM(T189:Y189)</f>
        <v>1</v>
      </c>
      <c r="AB189" s="63">
        <v>2020</v>
      </c>
      <c r="AD189" s="91"/>
      <c r="AE189" s="91"/>
    </row>
    <row r="190" spans="1:32" ht="31.5" x14ac:dyDescent="0.25">
      <c r="A190" s="48"/>
      <c r="B190" s="48"/>
      <c r="C190" s="48"/>
      <c r="D190" s="48" t="s">
        <v>18</v>
      </c>
      <c r="E190" s="48" t="s">
        <v>21</v>
      </c>
      <c r="F190" s="48" t="s">
        <v>18</v>
      </c>
      <c r="G190" s="48" t="s">
        <v>22</v>
      </c>
      <c r="H190" s="48" t="s">
        <v>19</v>
      </c>
      <c r="I190" s="48" t="s">
        <v>24</v>
      </c>
      <c r="J190" s="48" t="s">
        <v>18</v>
      </c>
      <c r="K190" s="48" t="s">
        <v>18</v>
      </c>
      <c r="L190" s="48" t="s">
        <v>19</v>
      </c>
      <c r="M190" s="48" t="s">
        <v>42</v>
      </c>
      <c r="N190" s="48" t="s">
        <v>42</v>
      </c>
      <c r="O190" s="48" t="s">
        <v>42</v>
      </c>
      <c r="P190" s="48" t="s">
        <v>42</v>
      </c>
      <c r="Q190" s="48" t="s">
        <v>42</v>
      </c>
      <c r="R190" s="66" t="s">
        <v>293</v>
      </c>
      <c r="S190" s="52" t="s">
        <v>0</v>
      </c>
      <c r="T190" s="53">
        <v>0</v>
      </c>
      <c r="U190" s="53">
        <f>103354.8-103354.8</f>
        <v>0</v>
      </c>
      <c r="V190" s="53">
        <v>0</v>
      </c>
      <c r="W190" s="53">
        <f t="shared" ref="W190:Z190" si="58">W192+W194+W196+W198</f>
        <v>2070.3000000000002</v>
      </c>
      <c r="X190" s="53">
        <f t="shared" si="58"/>
        <v>1579.4</v>
      </c>
      <c r="Y190" s="53">
        <f t="shared" si="58"/>
        <v>1525.4</v>
      </c>
      <c r="Z190" s="53">
        <f t="shared" si="58"/>
        <v>3132</v>
      </c>
      <c r="AA190" s="53">
        <f t="shared" ref="AA190:AA199" si="59">SUM(T190:Z190)</f>
        <v>8307.1</v>
      </c>
      <c r="AB190" s="52">
        <v>2024</v>
      </c>
      <c r="AD190" s="91"/>
      <c r="AE190" s="91"/>
    </row>
    <row r="191" spans="1:32" ht="31.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67" t="s">
        <v>306</v>
      </c>
      <c r="S191" s="37" t="s">
        <v>50</v>
      </c>
      <c r="T191" s="40">
        <v>0</v>
      </c>
      <c r="U191" s="40">
        <v>0</v>
      </c>
      <c r="V191" s="40">
        <v>0</v>
      </c>
      <c r="W191" s="3">
        <f t="shared" ref="W191:Z191" si="60">W193+W195+W197+W199</f>
        <v>796.2</v>
      </c>
      <c r="X191" s="3">
        <f t="shared" si="60"/>
        <v>792.3</v>
      </c>
      <c r="Y191" s="3">
        <f t="shared" si="60"/>
        <v>895.19999999999993</v>
      </c>
      <c r="Z191" s="3">
        <f t="shared" si="60"/>
        <v>690.1</v>
      </c>
      <c r="AA191" s="6">
        <f>SUM(T191:Z191)</f>
        <v>3173.7999999999997</v>
      </c>
      <c r="AB191" s="37">
        <v>2024</v>
      </c>
      <c r="AD191" s="91"/>
      <c r="AE191" s="91"/>
    </row>
    <row r="192" spans="1:32" ht="31.5" x14ac:dyDescent="0.25">
      <c r="A192" s="48" t="s">
        <v>18</v>
      </c>
      <c r="B192" s="48" t="s">
        <v>18</v>
      </c>
      <c r="C192" s="48" t="s">
        <v>22</v>
      </c>
      <c r="D192" s="48" t="s">
        <v>18</v>
      </c>
      <c r="E192" s="48" t="s">
        <v>21</v>
      </c>
      <c r="F192" s="48" t="s">
        <v>18</v>
      </c>
      <c r="G192" s="48" t="s">
        <v>22</v>
      </c>
      <c r="H192" s="48" t="s">
        <v>19</v>
      </c>
      <c r="I192" s="48" t="s">
        <v>24</v>
      </c>
      <c r="J192" s="48" t="s">
        <v>18</v>
      </c>
      <c r="K192" s="48" t="s">
        <v>18</v>
      </c>
      <c r="L192" s="48" t="s">
        <v>19</v>
      </c>
      <c r="M192" s="48" t="s">
        <v>42</v>
      </c>
      <c r="N192" s="48" t="s">
        <v>42</v>
      </c>
      <c r="O192" s="48" t="s">
        <v>42</v>
      </c>
      <c r="P192" s="48" t="s">
        <v>42</v>
      </c>
      <c r="Q192" s="48" t="s">
        <v>42</v>
      </c>
      <c r="R192" s="66" t="s">
        <v>293</v>
      </c>
      <c r="S192" s="49" t="s">
        <v>0</v>
      </c>
      <c r="T192" s="1">
        <v>0</v>
      </c>
      <c r="U192" s="1">
        <f t="shared" ref="U192" si="61">103354.8-103354.8</f>
        <v>0</v>
      </c>
      <c r="V192" s="1">
        <v>0</v>
      </c>
      <c r="W192" s="1">
        <f>2000-1135.9-630.3</f>
        <v>233.79999999999995</v>
      </c>
      <c r="X192" s="1">
        <f>2000-177-1287-327.4</f>
        <v>208.60000000000002</v>
      </c>
      <c r="Y192" s="1">
        <f>2000-717-803</f>
        <v>480</v>
      </c>
      <c r="Z192" s="1">
        <v>1000</v>
      </c>
      <c r="AA192" s="53">
        <f t="shared" si="59"/>
        <v>1922.4</v>
      </c>
      <c r="AB192" s="52">
        <v>2024</v>
      </c>
      <c r="AD192" s="91"/>
      <c r="AE192" s="91"/>
    </row>
    <row r="193" spans="1:31" ht="47.25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139" t="s">
        <v>307</v>
      </c>
      <c r="S193" s="37" t="s">
        <v>50</v>
      </c>
      <c r="T193" s="40">
        <v>0</v>
      </c>
      <c r="U193" s="40">
        <v>0</v>
      </c>
      <c r="V193" s="40">
        <v>0</v>
      </c>
      <c r="W193" s="3">
        <v>135</v>
      </c>
      <c r="X193" s="3">
        <v>91.5</v>
      </c>
      <c r="Y193" s="3">
        <v>264.3</v>
      </c>
      <c r="Z193" s="3">
        <v>247.5</v>
      </c>
      <c r="AA193" s="6">
        <f t="shared" si="59"/>
        <v>738.3</v>
      </c>
      <c r="AB193" s="37">
        <v>2024</v>
      </c>
      <c r="AD193" s="91"/>
      <c r="AE193" s="91"/>
    </row>
    <row r="194" spans="1:31" ht="30.75" customHeight="1" x14ac:dyDescent="0.25">
      <c r="A194" s="48" t="s">
        <v>18</v>
      </c>
      <c r="B194" s="48" t="s">
        <v>18</v>
      </c>
      <c r="C194" s="48" t="s">
        <v>24</v>
      </c>
      <c r="D194" s="48" t="s">
        <v>18</v>
      </c>
      <c r="E194" s="48" t="s">
        <v>21</v>
      </c>
      <c r="F194" s="48" t="s">
        <v>18</v>
      </c>
      <c r="G194" s="48" t="s">
        <v>22</v>
      </c>
      <c r="H194" s="48" t="s">
        <v>19</v>
      </c>
      <c r="I194" s="48" t="s">
        <v>24</v>
      </c>
      <c r="J194" s="48" t="s">
        <v>18</v>
      </c>
      <c r="K194" s="48" t="s">
        <v>18</v>
      </c>
      <c r="L194" s="48" t="s">
        <v>19</v>
      </c>
      <c r="M194" s="48" t="s">
        <v>42</v>
      </c>
      <c r="N194" s="48" t="s">
        <v>42</v>
      </c>
      <c r="O194" s="48" t="s">
        <v>42</v>
      </c>
      <c r="P194" s="48" t="s">
        <v>42</v>
      </c>
      <c r="Q194" s="48" t="s">
        <v>42</v>
      </c>
      <c r="R194" s="66" t="s">
        <v>293</v>
      </c>
      <c r="S194" s="49" t="s">
        <v>0</v>
      </c>
      <c r="T194" s="1">
        <v>0</v>
      </c>
      <c r="U194" s="1">
        <f t="shared" ref="U194" si="62">103354.8-103354.8</f>
        <v>0</v>
      </c>
      <c r="V194" s="1">
        <v>0</v>
      </c>
      <c r="W194" s="1">
        <f>1500-57.9-698.8-150</f>
        <v>593.29999999999995</v>
      </c>
      <c r="X194" s="1">
        <f>1500-417.3-15-567.7-264</f>
        <v>236</v>
      </c>
      <c r="Y194" s="1">
        <f>1500-1294.1</f>
        <v>205.90000000000009</v>
      </c>
      <c r="Z194" s="1">
        <f>750-118</f>
        <v>632</v>
      </c>
      <c r="AA194" s="53">
        <f t="shared" si="59"/>
        <v>1667.2</v>
      </c>
      <c r="AB194" s="52">
        <v>2024</v>
      </c>
      <c r="AD194" s="91"/>
      <c r="AE194" s="91"/>
    </row>
    <row r="195" spans="1:31" ht="47.25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69" t="s">
        <v>308</v>
      </c>
      <c r="S195" s="37" t="s">
        <v>50</v>
      </c>
      <c r="T195" s="40">
        <v>0</v>
      </c>
      <c r="U195" s="40">
        <v>0</v>
      </c>
      <c r="V195" s="40">
        <v>0</v>
      </c>
      <c r="W195" s="3">
        <v>197.4</v>
      </c>
      <c r="X195" s="3">
        <v>173.4</v>
      </c>
      <c r="Y195" s="3">
        <v>147</v>
      </c>
      <c r="Z195" s="3">
        <v>126.3</v>
      </c>
      <c r="AA195" s="6">
        <f t="shared" si="59"/>
        <v>644.09999999999991</v>
      </c>
      <c r="AB195" s="37">
        <v>2024</v>
      </c>
      <c r="AD195" s="91"/>
      <c r="AE195" s="91"/>
    </row>
    <row r="196" spans="1:31" ht="31.5" customHeight="1" x14ac:dyDescent="0.25">
      <c r="A196" s="48" t="s">
        <v>18</v>
      </c>
      <c r="B196" s="48" t="s">
        <v>18</v>
      </c>
      <c r="C196" s="48" t="s">
        <v>21</v>
      </c>
      <c r="D196" s="48" t="s">
        <v>18</v>
      </c>
      <c r="E196" s="48" t="s">
        <v>21</v>
      </c>
      <c r="F196" s="48" t="s">
        <v>18</v>
      </c>
      <c r="G196" s="48" t="s">
        <v>22</v>
      </c>
      <c r="H196" s="48" t="s">
        <v>19</v>
      </c>
      <c r="I196" s="48" t="s">
        <v>24</v>
      </c>
      <c r="J196" s="48" t="s">
        <v>18</v>
      </c>
      <c r="K196" s="48" t="s">
        <v>18</v>
      </c>
      <c r="L196" s="48" t="s">
        <v>19</v>
      </c>
      <c r="M196" s="48" t="s">
        <v>42</v>
      </c>
      <c r="N196" s="48" t="s">
        <v>42</v>
      </c>
      <c r="O196" s="48" t="s">
        <v>42</v>
      </c>
      <c r="P196" s="48" t="s">
        <v>42</v>
      </c>
      <c r="Q196" s="48" t="s">
        <v>42</v>
      </c>
      <c r="R196" s="66" t="s">
        <v>293</v>
      </c>
      <c r="S196" s="49" t="s">
        <v>0</v>
      </c>
      <c r="T196" s="1">
        <v>0</v>
      </c>
      <c r="U196" s="1">
        <f t="shared" ref="U196" si="63">103354.8-103354.8</f>
        <v>0</v>
      </c>
      <c r="V196" s="1">
        <v>0</v>
      </c>
      <c r="W196" s="1">
        <f>2000-26.3-155-153-1074.6</f>
        <v>591.10000000000014</v>
      </c>
      <c r="X196" s="1">
        <f>2000-37-600-245-483.7</f>
        <v>634.29999999999995</v>
      </c>
      <c r="Y196" s="1">
        <f>2000-437.3-1037.2-186</f>
        <v>339.5</v>
      </c>
      <c r="Z196" s="1">
        <v>1000</v>
      </c>
      <c r="AA196" s="53">
        <f t="shared" si="59"/>
        <v>2564.9</v>
      </c>
      <c r="AB196" s="52">
        <v>2024</v>
      </c>
      <c r="AD196" s="91"/>
      <c r="AE196" s="91"/>
    </row>
    <row r="197" spans="1:31" ht="47.25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67" t="s">
        <v>309</v>
      </c>
      <c r="S197" s="37" t="s">
        <v>50</v>
      </c>
      <c r="T197" s="40">
        <v>0</v>
      </c>
      <c r="U197" s="40">
        <v>0</v>
      </c>
      <c r="V197" s="40">
        <v>0</v>
      </c>
      <c r="W197" s="3">
        <v>225</v>
      </c>
      <c r="X197" s="3">
        <v>266</v>
      </c>
      <c r="Y197" s="3">
        <v>229</v>
      </c>
      <c r="Z197" s="3">
        <v>198.4</v>
      </c>
      <c r="AA197" s="6">
        <f t="shared" si="59"/>
        <v>918.4</v>
      </c>
      <c r="AB197" s="37">
        <v>2024</v>
      </c>
      <c r="AD197" s="91"/>
      <c r="AE197" s="91"/>
    </row>
    <row r="198" spans="1:31" ht="31.5" x14ac:dyDescent="0.25">
      <c r="A198" s="48" t="s">
        <v>18</v>
      </c>
      <c r="B198" s="48" t="s">
        <v>18</v>
      </c>
      <c r="C198" s="48" t="s">
        <v>25</v>
      </c>
      <c r="D198" s="48" t="s">
        <v>18</v>
      </c>
      <c r="E198" s="48" t="s">
        <v>21</v>
      </c>
      <c r="F198" s="48" t="s">
        <v>18</v>
      </c>
      <c r="G198" s="48" t="s">
        <v>22</v>
      </c>
      <c r="H198" s="48" t="s">
        <v>19</v>
      </c>
      <c r="I198" s="48" t="s">
        <v>24</v>
      </c>
      <c r="J198" s="48" t="s">
        <v>18</v>
      </c>
      <c r="K198" s="48" t="s">
        <v>18</v>
      </c>
      <c r="L198" s="48" t="s">
        <v>19</v>
      </c>
      <c r="M198" s="48" t="s">
        <v>42</v>
      </c>
      <c r="N198" s="48" t="s">
        <v>42</v>
      </c>
      <c r="O198" s="48" t="s">
        <v>42</v>
      </c>
      <c r="P198" s="48" t="s">
        <v>42</v>
      </c>
      <c r="Q198" s="48" t="s">
        <v>42</v>
      </c>
      <c r="R198" s="66" t="s">
        <v>293</v>
      </c>
      <c r="S198" s="49" t="s">
        <v>0</v>
      </c>
      <c r="T198" s="1">
        <v>0</v>
      </c>
      <c r="U198" s="1">
        <f t="shared" ref="U198" si="64">103354.8-103354.8</f>
        <v>0</v>
      </c>
      <c r="V198" s="1">
        <v>0</v>
      </c>
      <c r="W198" s="1">
        <f>1500-817.5-30.4</f>
        <v>652.1</v>
      </c>
      <c r="X198" s="1">
        <f>1500-999.4-0.1</f>
        <v>500.5</v>
      </c>
      <c r="Y198" s="1">
        <f>1300-547-253</f>
        <v>500</v>
      </c>
      <c r="Z198" s="1">
        <f>1000-500</f>
        <v>500</v>
      </c>
      <c r="AA198" s="53">
        <f t="shared" si="59"/>
        <v>2152.6</v>
      </c>
      <c r="AB198" s="52">
        <v>2024</v>
      </c>
      <c r="AD198" s="91"/>
      <c r="AE198" s="91"/>
    </row>
    <row r="199" spans="1:31" ht="47.25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67" t="s">
        <v>310</v>
      </c>
      <c r="S199" s="37" t="s">
        <v>50</v>
      </c>
      <c r="T199" s="40">
        <v>0</v>
      </c>
      <c r="U199" s="40">
        <v>0</v>
      </c>
      <c r="V199" s="40">
        <v>0</v>
      </c>
      <c r="W199" s="3">
        <v>238.8</v>
      </c>
      <c r="X199" s="3">
        <v>261.39999999999998</v>
      </c>
      <c r="Y199" s="3">
        <v>254.9</v>
      </c>
      <c r="Z199" s="3">
        <v>117.9</v>
      </c>
      <c r="AA199" s="6">
        <f t="shared" si="59"/>
        <v>873</v>
      </c>
      <c r="AB199" s="37">
        <v>2024</v>
      </c>
      <c r="AD199" s="91"/>
      <c r="AE199" s="91"/>
    </row>
    <row r="200" spans="1:31" ht="80.2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150" t="s">
        <v>318</v>
      </c>
      <c r="S200" s="49" t="s">
        <v>40</v>
      </c>
      <c r="T200" s="50">
        <v>0</v>
      </c>
      <c r="U200" s="50">
        <v>0</v>
      </c>
      <c r="V200" s="50">
        <v>0</v>
      </c>
      <c r="W200" s="50">
        <v>1</v>
      </c>
      <c r="X200" s="50">
        <v>1</v>
      </c>
      <c r="Y200" s="50">
        <v>1</v>
      </c>
      <c r="Z200" s="50">
        <v>1</v>
      </c>
      <c r="AA200" s="51">
        <v>1</v>
      </c>
      <c r="AB200" s="52">
        <v>2024</v>
      </c>
      <c r="AD200" s="91"/>
      <c r="AE200" s="91"/>
    </row>
    <row r="201" spans="1:31" ht="79.900000000000006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67" t="s">
        <v>319</v>
      </c>
      <c r="S201" s="55" t="s">
        <v>37</v>
      </c>
      <c r="T201" s="40">
        <v>0</v>
      </c>
      <c r="U201" s="40">
        <v>0</v>
      </c>
      <c r="V201" s="40">
        <v>0</v>
      </c>
      <c r="W201" s="40">
        <v>4</v>
      </c>
      <c r="X201" s="40">
        <v>4</v>
      </c>
      <c r="Y201" s="40">
        <v>4</v>
      </c>
      <c r="Z201" s="40">
        <v>4</v>
      </c>
      <c r="AA201" s="43">
        <f>SUM(T201:Z201)</f>
        <v>16</v>
      </c>
      <c r="AB201" s="37">
        <v>2024</v>
      </c>
      <c r="AD201" s="91"/>
      <c r="AE201" s="91"/>
    </row>
    <row r="202" spans="1:31" ht="62.25" customHeight="1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150" t="s">
        <v>320</v>
      </c>
      <c r="S202" s="49" t="s">
        <v>40</v>
      </c>
      <c r="T202" s="50">
        <v>0</v>
      </c>
      <c r="U202" s="50">
        <v>0</v>
      </c>
      <c r="V202" s="50">
        <v>0</v>
      </c>
      <c r="W202" s="50">
        <v>1</v>
      </c>
      <c r="X202" s="50">
        <v>1</v>
      </c>
      <c r="Y202" s="50">
        <v>1</v>
      </c>
      <c r="Z202" s="50">
        <v>1</v>
      </c>
      <c r="AA202" s="51">
        <v>1</v>
      </c>
      <c r="AB202" s="52">
        <v>2024</v>
      </c>
      <c r="AD202" s="91"/>
      <c r="AE202" s="91"/>
    </row>
    <row r="203" spans="1:31" ht="63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67" t="s">
        <v>325</v>
      </c>
      <c r="S203" s="55" t="s">
        <v>37</v>
      </c>
      <c r="T203" s="40">
        <v>0</v>
      </c>
      <c r="U203" s="40">
        <v>0</v>
      </c>
      <c r="V203" s="40">
        <v>0</v>
      </c>
      <c r="W203" s="40">
        <v>12</v>
      </c>
      <c r="X203" s="40">
        <v>12</v>
      </c>
      <c r="Y203" s="40">
        <v>12</v>
      </c>
      <c r="Z203" s="40">
        <v>12</v>
      </c>
      <c r="AA203" s="43">
        <f>SUM(T203:Z203)</f>
        <v>48</v>
      </c>
      <c r="AB203" s="37">
        <v>2024</v>
      </c>
      <c r="AD203" s="91"/>
      <c r="AE203" s="91"/>
    </row>
    <row r="204" spans="1:31" ht="31.5" x14ac:dyDescent="0.25">
      <c r="A204" s="48" t="s">
        <v>18</v>
      </c>
      <c r="B204" s="48" t="s">
        <v>19</v>
      </c>
      <c r="C204" s="48" t="s">
        <v>24</v>
      </c>
      <c r="D204" s="48" t="s">
        <v>18</v>
      </c>
      <c r="E204" s="48" t="s">
        <v>21</v>
      </c>
      <c r="F204" s="48" t="s">
        <v>18</v>
      </c>
      <c r="G204" s="48" t="s">
        <v>22</v>
      </c>
      <c r="H204" s="48" t="s">
        <v>19</v>
      </c>
      <c r="I204" s="48" t="s">
        <v>24</v>
      </c>
      <c r="J204" s="48" t="s">
        <v>18</v>
      </c>
      <c r="K204" s="48" t="s">
        <v>18</v>
      </c>
      <c r="L204" s="48" t="s">
        <v>19</v>
      </c>
      <c r="M204" s="48" t="s">
        <v>42</v>
      </c>
      <c r="N204" s="48" t="s">
        <v>42</v>
      </c>
      <c r="O204" s="48" t="s">
        <v>42</v>
      </c>
      <c r="P204" s="48" t="s">
        <v>42</v>
      </c>
      <c r="Q204" s="48" t="s">
        <v>42</v>
      </c>
      <c r="R204" s="66" t="s">
        <v>338</v>
      </c>
      <c r="S204" s="82" t="s">
        <v>0</v>
      </c>
      <c r="T204" s="53">
        <v>0</v>
      </c>
      <c r="U204" s="53">
        <v>0</v>
      </c>
      <c r="V204" s="53">
        <v>0</v>
      </c>
      <c r="W204" s="53">
        <v>0</v>
      </c>
      <c r="X204" s="53">
        <v>0</v>
      </c>
      <c r="Y204" s="53">
        <v>500</v>
      </c>
      <c r="Z204" s="53">
        <v>0</v>
      </c>
      <c r="AA204" s="53">
        <f>SUM(T204:Z204)</f>
        <v>500</v>
      </c>
      <c r="AB204" s="52">
        <v>2023</v>
      </c>
      <c r="AD204" s="91"/>
      <c r="AE204" s="91"/>
    </row>
    <row r="205" spans="1:31" ht="31.5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69" t="s">
        <v>337</v>
      </c>
      <c r="S205" s="151" t="s">
        <v>48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2</v>
      </c>
      <c r="Z205" s="2">
        <v>0</v>
      </c>
      <c r="AA205" s="43">
        <v>2</v>
      </c>
      <c r="AB205" s="37">
        <v>2023</v>
      </c>
      <c r="AD205" s="91"/>
      <c r="AE205" s="91"/>
    </row>
    <row r="206" spans="1:31" ht="31.5" x14ac:dyDescent="0.25">
      <c r="A206" s="48" t="s">
        <v>18</v>
      </c>
      <c r="B206" s="48" t="s">
        <v>19</v>
      </c>
      <c r="C206" s="48" t="s">
        <v>24</v>
      </c>
      <c r="D206" s="48" t="s">
        <v>18</v>
      </c>
      <c r="E206" s="48" t="s">
        <v>21</v>
      </c>
      <c r="F206" s="48" t="s">
        <v>18</v>
      </c>
      <c r="G206" s="48" t="s">
        <v>22</v>
      </c>
      <c r="H206" s="48" t="s">
        <v>19</v>
      </c>
      <c r="I206" s="48" t="s">
        <v>24</v>
      </c>
      <c r="J206" s="48" t="s">
        <v>18</v>
      </c>
      <c r="K206" s="48" t="s">
        <v>18</v>
      </c>
      <c r="L206" s="48" t="s">
        <v>19</v>
      </c>
      <c r="M206" s="48" t="s">
        <v>42</v>
      </c>
      <c r="N206" s="48" t="s">
        <v>42</v>
      </c>
      <c r="O206" s="48" t="s">
        <v>42</v>
      </c>
      <c r="P206" s="48" t="s">
        <v>42</v>
      </c>
      <c r="Q206" s="48" t="s">
        <v>42</v>
      </c>
      <c r="R206" s="66" t="s">
        <v>384</v>
      </c>
      <c r="S206" s="82" t="s">
        <v>0</v>
      </c>
      <c r="T206" s="53">
        <v>0</v>
      </c>
      <c r="U206" s="53">
        <v>0</v>
      </c>
      <c r="V206" s="53">
        <v>0</v>
      </c>
      <c r="W206" s="53">
        <v>0</v>
      </c>
      <c r="X206" s="53">
        <v>0</v>
      </c>
      <c r="Y206" s="53">
        <v>0</v>
      </c>
      <c r="Z206" s="53">
        <v>391.1</v>
      </c>
      <c r="AA206" s="53">
        <f>SUM(T206:Z206)</f>
        <v>391.1</v>
      </c>
      <c r="AB206" s="52">
        <v>2024</v>
      </c>
      <c r="AD206" s="91"/>
      <c r="AE206" s="91"/>
    </row>
    <row r="207" spans="1:31" ht="31.5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69" t="s">
        <v>385</v>
      </c>
      <c r="S207" s="151" t="s">
        <v>48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3</v>
      </c>
      <c r="AA207" s="43">
        <f>Z207</f>
        <v>3</v>
      </c>
      <c r="AB207" s="37">
        <v>2024</v>
      </c>
      <c r="AD207" s="91"/>
      <c r="AE207" s="91"/>
    </row>
    <row r="208" spans="1:31" s="45" customFormat="1" ht="31.5" x14ac:dyDescent="0.25">
      <c r="A208" s="42"/>
      <c r="B208" s="42"/>
      <c r="C208" s="42"/>
      <c r="D208" s="42"/>
      <c r="E208" s="42"/>
      <c r="F208" s="42"/>
      <c r="G208" s="42"/>
      <c r="H208" s="42" t="s">
        <v>19</v>
      </c>
      <c r="I208" s="42" t="s">
        <v>24</v>
      </c>
      <c r="J208" s="42" t="s">
        <v>18</v>
      </c>
      <c r="K208" s="42" t="s">
        <v>18</v>
      </c>
      <c r="L208" s="42" t="s">
        <v>20</v>
      </c>
      <c r="M208" s="42" t="s">
        <v>18</v>
      </c>
      <c r="N208" s="42" t="s">
        <v>18</v>
      </c>
      <c r="O208" s="42" t="s">
        <v>18</v>
      </c>
      <c r="P208" s="42" t="s">
        <v>18</v>
      </c>
      <c r="Q208" s="42" t="s">
        <v>18</v>
      </c>
      <c r="R208" s="64" t="s">
        <v>54</v>
      </c>
      <c r="S208" s="127" t="s">
        <v>0</v>
      </c>
      <c r="T208" s="126">
        <f>T231+T278+T217+T482</f>
        <v>147061.20000000001</v>
      </c>
      <c r="U208" s="126">
        <f>U231+U278+U217+U482</f>
        <v>108807.59999999998</v>
      </c>
      <c r="V208" s="126">
        <f>V231+V278+V217+V482</f>
        <v>7655.1</v>
      </c>
      <c r="W208" s="126">
        <f>W231+W278+W217+W482+W504</f>
        <v>33106.5</v>
      </c>
      <c r="X208" s="126">
        <f>X231+X278+X217+X482+X504</f>
        <v>55395.799999999996</v>
      </c>
      <c r="Y208" s="126">
        <f>Y231+Y278+Y217+Y482+Y504</f>
        <v>32076.6</v>
      </c>
      <c r="Z208" s="126">
        <f>Z231+Z278+Z217+Z482+Z504</f>
        <v>59697</v>
      </c>
      <c r="AA208" s="126">
        <f>SUM(T208:Z208)</f>
        <v>443799.79999999993</v>
      </c>
      <c r="AB208" s="127">
        <v>2024</v>
      </c>
      <c r="AC208" s="98"/>
      <c r="AD208" s="44"/>
    </row>
    <row r="209" spans="1:31" s="45" customFormat="1" ht="31.5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67" t="s">
        <v>221</v>
      </c>
      <c r="S209" s="37" t="s">
        <v>37</v>
      </c>
      <c r="T209" s="2">
        <f>T485+T236+T280</f>
        <v>58</v>
      </c>
      <c r="U209" s="40">
        <f>U485+U236+U280</f>
        <v>42</v>
      </c>
      <c r="V209" s="2">
        <f>V485+V236+V280</f>
        <v>7</v>
      </c>
      <c r="W209" s="2">
        <f>W485+W236+W280+W506</f>
        <v>17</v>
      </c>
      <c r="X209" s="2">
        <f>X485+X236+X280+X506</f>
        <v>14</v>
      </c>
      <c r="Y209" s="2">
        <f>Y485+Y236+Y280+Y506</f>
        <v>13</v>
      </c>
      <c r="Z209" s="2">
        <f>Z485+Z236+Z280+Z506</f>
        <v>18</v>
      </c>
      <c r="AA209" s="41">
        <f>SUM(T209:Z209)</f>
        <v>169</v>
      </c>
      <c r="AB209" s="37">
        <v>2024</v>
      </c>
      <c r="AC209" s="79"/>
      <c r="AD209" s="44"/>
    </row>
    <row r="210" spans="1:31" s="45" customFormat="1" ht="31.5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67" t="s">
        <v>222</v>
      </c>
      <c r="S210" s="37" t="s">
        <v>50</v>
      </c>
      <c r="T210" s="4">
        <f>T485+T234+T279</f>
        <v>63</v>
      </c>
      <c r="U210" s="4">
        <f>U486+U234+U279</f>
        <v>42.2</v>
      </c>
      <c r="V210" s="4">
        <f>V486+V234+V279</f>
        <v>1.7000000000000002</v>
      </c>
      <c r="W210" s="4">
        <f>W486+W234+W279+W505</f>
        <v>11</v>
      </c>
      <c r="X210" s="4">
        <f>X486+X234+X279+X505</f>
        <v>15.7</v>
      </c>
      <c r="Y210" s="4">
        <f>Y486+Y234+Y279+Y505</f>
        <v>8.6</v>
      </c>
      <c r="Z210" s="4">
        <f>Z486+Z234+Z279+Z505</f>
        <v>15.9</v>
      </c>
      <c r="AA210" s="5">
        <f>SUM(T210:Z210)</f>
        <v>158.1</v>
      </c>
      <c r="AB210" s="37">
        <v>2024</v>
      </c>
      <c r="AC210" s="98"/>
      <c r="AD210" s="44"/>
    </row>
    <row r="211" spans="1:31" s="8" customFormat="1" ht="47.25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69" t="s">
        <v>114</v>
      </c>
      <c r="S211" s="151" t="s">
        <v>9</v>
      </c>
      <c r="T211" s="3">
        <f>((4338+39.6)+63)/13987*100</f>
        <v>31.748051762350755</v>
      </c>
      <c r="U211" s="3">
        <f>((4338+39.6)+T210+U210)/13987*100</f>
        <v>32.049760491885323</v>
      </c>
      <c r="V211" s="3">
        <f>((4338+39.6)+U210+V210+T210)/13987*100</f>
        <v>32.061914635018226</v>
      </c>
      <c r="W211" s="3">
        <f>((4338+39.6)+T210+V210+W210+U210)/13987*100</f>
        <v>32.140559090584112</v>
      </c>
      <c r="X211" s="3">
        <f>((4338+39.6)+T210+U210+W210+X210+V210)/13987*100</f>
        <v>32.252806177164508</v>
      </c>
      <c r="Y211" s="3">
        <f>((4338+39.6)+T210+U210+V210+X210+Y210+W210)/13987*100</f>
        <v>32.314291842425106</v>
      </c>
      <c r="Z211" s="3">
        <f>((4338+39.6)+T210+U210+V210+W210+Y210+Z210+X210)/13987*100</f>
        <v>32.427968828197614</v>
      </c>
      <c r="AA211" s="5">
        <f>Z211</f>
        <v>32.427968828197614</v>
      </c>
      <c r="AB211" s="37">
        <v>2024</v>
      </c>
      <c r="AC211" s="90"/>
      <c r="AD211" s="54"/>
    </row>
    <row r="212" spans="1:31" ht="31.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80" t="s">
        <v>115</v>
      </c>
      <c r="S212" s="151" t="s">
        <v>9</v>
      </c>
      <c r="T212" s="3">
        <f>30/58*100</f>
        <v>51.724137931034484</v>
      </c>
      <c r="U212" s="3">
        <f>22/42*100</f>
        <v>52.380952380952387</v>
      </c>
      <c r="V212" s="3">
        <f>7/7*100</f>
        <v>100</v>
      </c>
      <c r="W212" s="3">
        <f>15/17*100</f>
        <v>88.235294117647058</v>
      </c>
      <c r="X212" s="4">
        <v>91</v>
      </c>
      <c r="Y212" s="4">
        <f>12/13*100</f>
        <v>92.307692307692307</v>
      </c>
      <c r="Z212" s="4">
        <f>18/18*100</f>
        <v>100</v>
      </c>
      <c r="AA212" s="5">
        <f>Z212</f>
        <v>100</v>
      </c>
      <c r="AB212" s="37">
        <v>2024</v>
      </c>
      <c r="AC212" s="98"/>
    </row>
    <row r="213" spans="1:31" ht="46.9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80" t="s">
        <v>341</v>
      </c>
      <c r="S213" s="151" t="s">
        <v>224</v>
      </c>
      <c r="T213" s="4">
        <v>0</v>
      </c>
      <c r="U213" s="4">
        <v>0</v>
      </c>
      <c r="V213" s="4">
        <v>0</v>
      </c>
      <c r="W213" s="4">
        <f>1.1*4*100%</f>
        <v>4.4000000000000004</v>
      </c>
      <c r="X213" s="4">
        <v>23.7</v>
      </c>
      <c r="Y213" s="4">
        <f>7*4*100%</f>
        <v>28</v>
      </c>
      <c r="Z213" s="4">
        <f>7.1*4*100%</f>
        <v>28.4</v>
      </c>
      <c r="AA213" s="6">
        <f>SUM(T213:Z213)</f>
        <v>84.5</v>
      </c>
      <c r="AB213" s="37">
        <v>2024</v>
      </c>
      <c r="AC213" s="98"/>
    </row>
    <row r="214" spans="1:31" s="45" customFormat="1" ht="31.5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67" t="s">
        <v>116</v>
      </c>
      <c r="S214" s="37" t="s">
        <v>9</v>
      </c>
      <c r="T214" s="3">
        <f>27.6/336.9*100</f>
        <v>8.1923419412288521</v>
      </c>
      <c r="U214" s="3">
        <f>11.3/336.9*100</f>
        <v>3.3541110121697839</v>
      </c>
      <c r="V214" s="3">
        <f>2/336.9*100</f>
        <v>0.59364796675571385</v>
      </c>
      <c r="W214" s="3">
        <f>5.6/336.9*100</f>
        <v>1.6622143069159989</v>
      </c>
      <c r="X214" s="3">
        <v>43.1</v>
      </c>
      <c r="Y214" s="3">
        <f>7/336.9*100</f>
        <v>2.0777678836449986</v>
      </c>
      <c r="Z214" s="3">
        <f>7.1/352.9*100</f>
        <v>2.0119013884953243</v>
      </c>
      <c r="AA214" s="6">
        <v>19.2</v>
      </c>
      <c r="AB214" s="37">
        <v>2024</v>
      </c>
      <c r="AC214" s="98"/>
      <c r="AD214" s="44"/>
    </row>
    <row r="215" spans="1:31" s="45" customFormat="1" ht="47.25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150" t="s">
        <v>117</v>
      </c>
      <c r="S215" s="49" t="s">
        <v>40</v>
      </c>
      <c r="T215" s="50">
        <v>0</v>
      </c>
      <c r="U215" s="50">
        <v>0</v>
      </c>
      <c r="V215" s="50">
        <v>0</v>
      </c>
      <c r="W215" s="50">
        <v>1</v>
      </c>
      <c r="X215" s="50">
        <v>1</v>
      </c>
      <c r="Y215" s="50">
        <v>0</v>
      </c>
      <c r="Z215" s="50">
        <v>0</v>
      </c>
      <c r="AA215" s="51">
        <v>1</v>
      </c>
      <c r="AB215" s="52">
        <v>2022</v>
      </c>
      <c r="AC215" s="98"/>
      <c r="AD215" s="44"/>
    </row>
    <row r="216" spans="1:31" s="45" customFormat="1" ht="31.5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67" t="s">
        <v>69</v>
      </c>
      <c r="S216" s="37" t="s">
        <v>37</v>
      </c>
      <c r="T216" s="40">
        <v>0</v>
      </c>
      <c r="U216" s="40">
        <v>0</v>
      </c>
      <c r="V216" s="40">
        <f t="shared" ref="V216:Z216" si="65">V485</f>
        <v>0</v>
      </c>
      <c r="W216" s="40">
        <v>1</v>
      </c>
      <c r="X216" s="40">
        <v>2</v>
      </c>
      <c r="Y216" s="40">
        <f t="shared" si="65"/>
        <v>0</v>
      </c>
      <c r="Z216" s="40">
        <f t="shared" si="65"/>
        <v>0</v>
      </c>
      <c r="AA216" s="43">
        <f>SUM(T216:Z216)</f>
        <v>3</v>
      </c>
      <c r="AB216" s="37">
        <v>2022</v>
      </c>
      <c r="AC216" s="104"/>
      <c r="AD216" s="100"/>
      <c r="AE216" s="100"/>
    </row>
    <row r="217" spans="1:31" s="45" customFormat="1" ht="31.5" x14ac:dyDescent="0.25">
      <c r="A217" s="48"/>
      <c r="B217" s="48"/>
      <c r="C217" s="48"/>
      <c r="D217" s="48" t="s">
        <v>18</v>
      </c>
      <c r="E217" s="48" t="s">
        <v>21</v>
      </c>
      <c r="F217" s="48" t="s">
        <v>18</v>
      </c>
      <c r="G217" s="48" t="s">
        <v>22</v>
      </c>
      <c r="H217" s="48" t="s">
        <v>19</v>
      </c>
      <c r="I217" s="48" t="s">
        <v>24</v>
      </c>
      <c r="J217" s="48" t="s">
        <v>18</v>
      </c>
      <c r="K217" s="48" t="s">
        <v>18</v>
      </c>
      <c r="L217" s="48" t="s">
        <v>20</v>
      </c>
      <c r="M217" s="48" t="s">
        <v>42</v>
      </c>
      <c r="N217" s="48" t="s">
        <v>42</v>
      </c>
      <c r="O217" s="48" t="s">
        <v>42</v>
      </c>
      <c r="P217" s="48" t="s">
        <v>42</v>
      </c>
      <c r="Q217" s="48" t="s">
        <v>42</v>
      </c>
      <c r="R217" s="150" t="s">
        <v>227</v>
      </c>
      <c r="S217" s="52" t="s">
        <v>0</v>
      </c>
      <c r="T217" s="53">
        <f t="shared" ref="T217:Y217" si="66">T219+T221+T223+T225</f>
        <v>1307</v>
      </c>
      <c r="U217" s="53">
        <f t="shared" si="66"/>
        <v>0</v>
      </c>
      <c r="V217" s="53">
        <f t="shared" si="66"/>
        <v>0</v>
      </c>
      <c r="W217" s="53">
        <f t="shared" si="66"/>
        <v>0</v>
      </c>
      <c r="X217" s="53">
        <f t="shared" si="66"/>
        <v>0</v>
      </c>
      <c r="Y217" s="53">
        <f t="shared" si="66"/>
        <v>0</v>
      </c>
      <c r="Z217" s="53">
        <f t="shared" ref="Z217" si="67">Z219+Z221+Z223+Z225</f>
        <v>0</v>
      </c>
      <c r="AA217" s="53">
        <f>SUM(T217:Y217)</f>
        <v>1307</v>
      </c>
      <c r="AB217" s="52">
        <v>2018</v>
      </c>
      <c r="AC217" s="98"/>
      <c r="AD217" s="100"/>
      <c r="AE217" s="100"/>
    </row>
    <row r="218" spans="1:31" s="45" customFormat="1" ht="47.25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67" t="s">
        <v>240</v>
      </c>
      <c r="S218" s="46" t="s">
        <v>37</v>
      </c>
      <c r="T218" s="40">
        <f>T220+T222+T224+T226</f>
        <v>39</v>
      </c>
      <c r="U218" s="40">
        <f t="shared" ref="U218:Y218" si="68">U220+U222+U224+U226</f>
        <v>0</v>
      </c>
      <c r="V218" s="40">
        <f t="shared" si="68"/>
        <v>0</v>
      </c>
      <c r="W218" s="40">
        <f t="shared" si="68"/>
        <v>0</v>
      </c>
      <c r="X218" s="40">
        <f t="shared" si="68"/>
        <v>0</v>
      </c>
      <c r="Y218" s="40">
        <f t="shared" si="68"/>
        <v>0</v>
      </c>
      <c r="Z218" s="40">
        <f t="shared" ref="Z218" si="69">Z220+Z222+Z224+Z226</f>
        <v>0</v>
      </c>
      <c r="AA218" s="43">
        <f>T218</f>
        <v>39</v>
      </c>
      <c r="AB218" s="37">
        <v>2018</v>
      </c>
      <c r="AC218" s="98"/>
      <c r="AD218" s="100"/>
      <c r="AE218" s="100"/>
    </row>
    <row r="219" spans="1:31" s="45" customFormat="1" ht="30" customHeight="1" x14ac:dyDescent="0.25">
      <c r="A219" s="48" t="s">
        <v>18</v>
      </c>
      <c r="B219" s="48" t="s">
        <v>18</v>
      </c>
      <c r="C219" s="48" t="s">
        <v>22</v>
      </c>
      <c r="D219" s="48" t="s">
        <v>18</v>
      </c>
      <c r="E219" s="48" t="s">
        <v>21</v>
      </c>
      <c r="F219" s="48" t="s">
        <v>18</v>
      </c>
      <c r="G219" s="48" t="s">
        <v>22</v>
      </c>
      <c r="H219" s="48" t="s">
        <v>19</v>
      </c>
      <c r="I219" s="48" t="s">
        <v>24</v>
      </c>
      <c r="J219" s="48" t="s">
        <v>18</v>
      </c>
      <c r="K219" s="48" t="s">
        <v>18</v>
      </c>
      <c r="L219" s="48" t="s">
        <v>20</v>
      </c>
      <c r="M219" s="48" t="s">
        <v>42</v>
      </c>
      <c r="N219" s="48" t="s">
        <v>42</v>
      </c>
      <c r="O219" s="48" t="s">
        <v>42</v>
      </c>
      <c r="P219" s="48" t="s">
        <v>42</v>
      </c>
      <c r="Q219" s="48" t="s">
        <v>42</v>
      </c>
      <c r="R219" s="150" t="s">
        <v>227</v>
      </c>
      <c r="S219" s="49" t="s">
        <v>0</v>
      </c>
      <c r="T219" s="1">
        <v>474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53">
        <f>SUM(T219:Y219)</f>
        <v>474</v>
      </c>
      <c r="AB219" s="52">
        <v>2018</v>
      </c>
      <c r="AC219" s="108"/>
      <c r="AD219" s="101"/>
      <c r="AE219" s="101"/>
    </row>
    <row r="220" spans="1:31" s="45" customFormat="1" ht="47.2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144" t="s">
        <v>241</v>
      </c>
      <c r="S220" s="46" t="s">
        <v>37</v>
      </c>
      <c r="T220" s="40">
        <v>15</v>
      </c>
      <c r="U220" s="40">
        <v>0</v>
      </c>
      <c r="V220" s="40">
        <v>0</v>
      </c>
      <c r="W220" s="40">
        <v>0</v>
      </c>
      <c r="X220" s="40">
        <v>0</v>
      </c>
      <c r="Y220" s="40">
        <v>0</v>
      </c>
      <c r="Z220" s="40">
        <v>0</v>
      </c>
      <c r="AA220" s="43">
        <f>T220+U220+V220+W220+X220</f>
        <v>15</v>
      </c>
      <c r="AB220" s="37">
        <v>2018</v>
      </c>
      <c r="AC220" s="98"/>
      <c r="AD220" s="44"/>
    </row>
    <row r="221" spans="1:31" s="123" customFormat="1" ht="31.5" x14ac:dyDescent="0.25">
      <c r="A221" s="48" t="s">
        <v>18</v>
      </c>
      <c r="B221" s="48" t="s">
        <v>18</v>
      </c>
      <c r="C221" s="48" t="s">
        <v>24</v>
      </c>
      <c r="D221" s="48" t="s">
        <v>18</v>
      </c>
      <c r="E221" s="48" t="s">
        <v>21</v>
      </c>
      <c r="F221" s="48" t="s">
        <v>18</v>
      </c>
      <c r="G221" s="48" t="s">
        <v>22</v>
      </c>
      <c r="H221" s="48" t="s">
        <v>19</v>
      </c>
      <c r="I221" s="48" t="s">
        <v>24</v>
      </c>
      <c r="J221" s="48" t="s">
        <v>18</v>
      </c>
      <c r="K221" s="48" t="s">
        <v>18</v>
      </c>
      <c r="L221" s="48" t="s">
        <v>20</v>
      </c>
      <c r="M221" s="48" t="s">
        <v>42</v>
      </c>
      <c r="N221" s="48" t="s">
        <v>42</v>
      </c>
      <c r="O221" s="48" t="s">
        <v>42</v>
      </c>
      <c r="P221" s="48" t="s">
        <v>42</v>
      </c>
      <c r="Q221" s="48" t="s">
        <v>42</v>
      </c>
      <c r="R221" s="150" t="s">
        <v>227</v>
      </c>
      <c r="S221" s="49" t="s">
        <v>0</v>
      </c>
      <c r="T221" s="1">
        <f>0+126+400-100</f>
        <v>426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53">
        <f t="shared" ref="AA221:AA226" si="70">SUM(T221:Y221)</f>
        <v>426</v>
      </c>
      <c r="AB221" s="52">
        <v>2018</v>
      </c>
      <c r="AC221" s="121"/>
      <c r="AD221" s="122"/>
      <c r="AE221" s="122"/>
    </row>
    <row r="222" spans="1:31" s="45" customFormat="1" ht="48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67" t="s">
        <v>242</v>
      </c>
      <c r="S222" s="46" t="s">
        <v>37</v>
      </c>
      <c r="T222" s="40">
        <v>4</v>
      </c>
      <c r="U222" s="40">
        <v>0</v>
      </c>
      <c r="V222" s="40">
        <v>0</v>
      </c>
      <c r="W222" s="40">
        <v>0</v>
      </c>
      <c r="X222" s="40">
        <v>0</v>
      </c>
      <c r="Y222" s="40">
        <v>0</v>
      </c>
      <c r="Z222" s="40">
        <v>0</v>
      </c>
      <c r="AA222" s="43">
        <f t="shared" si="70"/>
        <v>4</v>
      </c>
      <c r="AB222" s="37">
        <v>2018</v>
      </c>
      <c r="AC222" s="99"/>
      <c r="AD222" s="100"/>
    </row>
    <row r="223" spans="1:31" s="45" customFormat="1" ht="31.5" x14ac:dyDescent="0.25">
      <c r="A223" s="48" t="s">
        <v>18</v>
      </c>
      <c r="B223" s="48" t="s">
        <v>18</v>
      </c>
      <c r="C223" s="48" t="s">
        <v>21</v>
      </c>
      <c r="D223" s="48" t="s">
        <v>18</v>
      </c>
      <c r="E223" s="48" t="s">
        <v>21</v>
      </c>
      <c r="F223" s="48" t="s">
        <v>18</v>
      </c>
      <c r="G223" s="48" t="s">
        <v>22</v>
      </c>
      <c r="H223" s="48" t="s">
        <v>19</v>
      </c>
      <c r="I223" s="48" t="s">
        <v>24</v>
      </c>
      <c r="J223" s="48" t="s">
        <v>18</v>
      </c>
      <c r="K223" s="48" t="s">
        <v>18</v>
      </c>
      <c r="L223" s="48" t="s">
        <v>20</v>
      </c>
      <c r="M223" s="48" t="s">
        <v>42</v>
      </c>
      <c r="N223" s="48" t="s">
        <v>42</v>
      </c>
      <c r="O223" s="48" t="s">
        <v>42</v>
      </c>
      <c r="P223" s="48" t="s">
        <v>42</v>
      </c>
      <c r="Q223" s="48" t="s">
        <v>42</v>
      </c>
      <c r="R223" s="150" t="s">
        <v>227</v>
      </c>
      <c r="S223" s="49" t="s">
        <v>0</v>
      </c>
      <c r="T223" s="1">
        <v>250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53">
        <f t="shared" si="70"/>
        <v>250</v>
      </c>
      <c r="AB223" s="52">
        <v>2018</v>
      </c>
      <c r="AC223" s="31"/>
      <c r="AD223" s="100"/>
      <c r="AE223" s="100"/>
    </row>
    <row r="224" spans="1:31" s="45" customFormat="1" ht="47.2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67" t="s">
        <v>243</v>
      </c>
      <c r="S224" s="46" t="s">
        <v>37</v>
      </c>
      <c r="T224" s="40">
        <v>16</v>
      </c>
      <c r="U224" s="40">
        <v>0</v>
      </c>
      <c r="V224" s="40">
        <v>0</v>
      </c>
      <c r="W224" s="40">
        <v>0</v>
      </c>
      <c r="X224" s="40">
        <v>0</v>
      </c>
      <c r="Y224" s="40">
        <v>0</v>
      </c>
      <c r="Z224" s="40">
        <v>0</v>
      </c>
      <c r="AA224" s="43">
        <f t="shared" si="70"/>
        <v>16</v>
      </c>
      <c r="AB224" s="37">
        <v>2018</v>
      </c>
      <c r="AC224" s="98"/>
      <c r="AD224" s="44"/>
    </row>
    <row r="225" spans="1:31" s="45" customFormat="1" ht="31.5" x14ac:dyDescent="0.25">
      <c r="A225" s="48" t="s">
        <v>18</v>
      </c>
      <c r="B225" s="48" t="s">
        <v>18</v>
      </c>
      <c r="C225" s="48" t="s">
        <v>25</v>
      </c>
      <c r="D225" s="48" t="s">
        <v>18</v>
      </c>
      <c r="E225" s="48" t="s">
        <v>21</v>
      </c>
      <c r="F225" s="48" t="s">
        <v>18</v>
      </c>
      <c r="G225" s="48" t="s">
        <v>22</v>
      </c>
      <c r="H225" s="48" t="s">
        <v>19</v>
      </c>
      <c r="I225" s="48" t="s">
        <v>24</v>
      </c>
      <c r="J225" s="48" t="s">
        <v>18</v>
      </c>
      <c r="K225" s="48" t="s">
        <v>18</v>
      </c>
      <c r="L225" s="48" t="s">
        <v>20</v>
      </c>
      <c r="M225" s="48" t="s">
        <v>42</v>
      </c>
      <c r="N225" s="48" t="s">
        <v>42</v>
      </c>
      <c r="O225" s="48" t="s">
        <v>42</v>
      </c>
      <c r="P225" s="48" t="s">
        <v>42</v>
      </c>
      <c r="Q225" s="48" t="s">
        <v>42</v>
      </c>
      <c r="R225" s="150" t="s">
        <v>227</v>
      </c>
      <c r="S225" s="49" t="s">
        <v>0</v>
      </c>
      <c r="T225" s="1">
        <f>480-430+100+55-48</f>
        <v>157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53">
        <f t="shared" si="70"/>
        <v>157</v>
      </c>
      <c r="AB225" s="52">
        <v>2018</v>
      </c>
      <c r="AC225" s="31"/>
      <c r="AD225" s="100"/>
      <c r="AE225" s="100"/>
    </row>
    <row r="226" spans="1:31" s="45" customFormat="1" ht="46.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67" t="s">
        <v>244</v>
      </c>
      <c r="S226" s="46" t="s">
        <v>37</v>
      </c>
      <c r="T226" s="40">
        <v>4</v>
      </c>
      <c r="U226" s="40">
        <v>0</v>
      </c>
      <c r="V226" s="40">
        <v>0</v>
      </c>
      <c r="W226" s="40">
        <v>0</v>
      </c>
      <c r="X226" s="40">
        <v>0</v>
      </c>
      <c r="Y226" s="40">
        <v>0</v>
      </c>
      <c r="Z226" s="40">
        <v>0</v>
      </c>
      <c r="AA226" s="43">
        <f t="shared" si="70"/>
        <v>4</v>
      </c>
      <c r="AB226" s="37">
        <v>2018</v>
      </c>
      <c r="AC226" s="98"/>
      <c r="AD226" s="44"/>
    </row>
    <row r="227" spans="1:31" s="45" customFormat="1" ht="47.25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150" t="s">
        <v>120</v>
      </c>
      <c r="S227" s="49" t="s">
        <v>40</v>
      </c>
      <c r="T227" s="50">
        <v>0</v>
      </c>
      <c r="U227" s="50">
        <v>0</v>
      </c>
      <c r="V227" s="50">
        <v>0</v>
      </c>
      <c r="W227" s="50">
        <v>0</v>
      </c>
      <c r="X227" s="50">
        <v>1</v>
      </c>
      <c r="Y227" s="50">
        <v>0</v>
      </c>
      <c r="Z227" s="50">
        <v>0</v>
      </c>
      <c r="AA227" s="51">
        <v>1</v>
      </c>
      <c r="AB227" s="52">
        <v>2022</v>
      </c>
      <c r="AC227" s="98"/>
      <c r="AD227" s="44"/>
    </row>
    <row r="228" spans="1:31" ht="31.1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67" t="s">
        <v>74</v>
      </c>
      <c r="S228" s="37" t="s">
        <v>37</v>
      </c>
      <c r="T228" s="2">
        <v>0</v>
      </c>
      <c r="U228" s="2">
        <v>0</v>
      </c>
      <c r="V228" s="2">
        <v>0</v>
      </c>
      <c r="W228" s="40">
        <v>0</v>
      </c>
      <c r="X228" s="2">
        <v>1</v>
      </c>
      <c r="Y228" s="2">
        <v>0</v>
      </c>
      <c r="Z228" s="2">
        <v>0</v>
      </c>
      <c r="AA228" s="43">
        <f>SUM(T228:Z228)</f>
        <v>1</v>
      </c>
      <c r="AB228" s="37">
        <v>2022</v>
      </c>
      <c r="AD228" s="91"/>
      <c r="AE228" s="91"/>
    </row>
    <row r="229" spans="1:31" ht="34.5" customHeight="1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150" t="s">
        <v>121</v>
      </c>
      <c r="S229" s="49" t="s">
        <v>40</v>
      </c>
      <c r="T229" s="50">
        <v>0</v>
      </c>
      <c r="U229" s="50">
        <v>0</v>
      </c>
      <c r="V229" s="50">
        <v>0</v>
      </c>
      <c r="W229" s="50">
        <v>1</v>
      </c>
      <c r="X229" s="50">
        <v>1</v>
      </c>
      <c r="Y229" s="50">
        <v>0</v>
      </c>
      <c r="Z229" s="50">
        <v>0</v>
      </c>
      <c r="AA229" s="51">
        <v>1</v>
      </c>
      <c r="AB229" s="52">
        <v>2022</v>
      </c>
      <c r="AD229" s="91"/>
      <c r="AE229" s="91"/>
    </row>
    <row r="230" spans="1:31" s="65" customFormat="1" ht="36.7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67" t="s">
        <v>122</v>
      </c>
      <c r="S230" s="55" t="s">
        <v>37</v>
      </c>
      <c r="T230" s="2">
        <v>0</v>
      </c>
      <c r="U230" s="2">
        <v>0</v>
      </c>
      <c r="V230" s="2">
        <v>0</v>
      </c>
      <c r="W230" s="2">
        <v>2</v>
      </c>
      <c r="X230" s="2">
        <v>1</v>
      </c>
      <c r="Y230" s="2">
        <v>0</v>
      </c>
      <c r="Z230" s="2">
        <v>0</v>
      </c>
      <c r="AA230" s="41">
        <f>SUM(T230:Z230)</f>
        <v>3</v>
      </c>
      <c r="AB230" s="37">
        <v>2022</v>
      </c>
      <c r="AC230" s="90"/>
    </row>
    <row r="231" spans="1:31" s="65" customFormat="1" ht="47.25" customHeight="1" x14ac:dyDescent="0.25">
      <c r="A231" s="48"/>
      <c r="B231" s="48"/>
      <c r="C231" s="48"/>
      <c r="D231" s="48" t="s">
        <v>18</v>
      </c>
      <c r="E231" s="48" t="s">
        <v>24</v>
      </c>
      <c r="F231" s="48" t="s">
        <v>18</v>
      </c>
      <c r="G231" s="48" t="s">
        <v>42</v>
      </c>
      <c r="H231" s="48" t="s">
        <v>19</v>
      </c>
      <c r="I231" s="48" t="s">
        <v>24</v>
      </c>
      <c r="J231" s="48" t="s">
        <v>18</v>
      </c>
      <c r="K231" s="48" t="s">
        <v>18</v>
      </c>
      <c r="L231" s="48" t="s">
        <v>20</v>
      </c>
      <c r="M231" s="48" t="s">
        <v>18</v>
      </c>
      <c r="N231" s="48" t="s">
        <v>18</v>
      </c>
      <c r="O231" s="48" t="s">
        <v>18</v>
      </c>
      <c r="P231" s="48" t="s">
        <v>18</v>
      </c>
      <c r="Q231" s="48" t="s">
        <v>18</v>
      </c>
      <c r="R231" s="157" t="s">
        <v>123</v>
      </c>
      <c r="S231" s="52" t="s">
        <v>0</v>
      </c>
      <c r="T231" s="53">
        <f t="shared" ref="T231:Z231" si="71">T238+T246+T254+T262+T270</f>
        <v>123487.5</v>
      </c>
      <c r="U231" s="53">
        <f t="shared" si="71"/>
        <v>86341.199999999983</v>
      </c>
      <c r="V231" s="53">
        <f t="shared" si="71"/>
        <v>569.79999999999995</v>
      </c>
      <c r="W231" s="53">
        <f t="shared" si="71"/>
        <v>112.2</v>
      </c>
      <c r="X231" s="53">
        <f>X238+X246+X254+X262+X270</f>
        <v>33356</v>
      </c>
      <c r="Y231" s="53">
        <f t="shared" si="71"/>
        <v>3820.5</v>
      </c>
      <c r="Z231" s="53">
        <f t="shared" si="71"/>
        <v>0</v>
      </c>
      <c r="AA231" s="53">
        <f>SUM(T231:Z231)</f>
        <v>247687.19999999998</v>
      </c>
      <c r="AB231" s="52">
        <v>2023</v>
      </c>
      <c r="AC231" s="95"/>
    </row>
    <row r="232" spans="1:31" s="65" customFormat="1" ht="19.899999999999999" hidden="1" customHeight="1" x14ac:dyDescent="0.25">
      <c r="A232" s="48"/>
      <c r="B232" s="48"/>
      <c r="C232" s="48"/>
      <c r="D232" s="48" t="s">
        <v>18</v>
      </c>
      <c r="E232" s="48" t="s">
        <v>24</v>
      </c>
      <c r="F232" s="48" t="s">
        <v>18</v>
      </c>
      <c r="G232" s="48" t="s">
        <v>42</v>
      </c>
      <c r="H232" s="48" t="s">
        <v>19</v>
      </c>
      <c r="I232" s="48" t="s">
        <v>24</v>
      </c>
      <c r="J232" s="48" t="s">
        <v>18</v>
      </c>
      <c r="K232" s="48" t="s">
        <v>18</v>
      </c>
      <c r="L232" s="48" t="s">
        <v>20</v>
      </c>
      <c r="M232" s="48" t="s">
        <v>36</v>
      </c>
      <c r="N232" s="48" t="s">
        <v>18</v>
      </c>
      <c r="O232" s="48" t="s">
        <v>20</v>
      </c>
      <c r="P232" s="48" t="s">
        <v>19</v>
      </c>
      <c r="Q232" s="48" t="s">
        <v>38</v>
      </c>
      <c r="R232" s="157"/>
      <c r="S232" s="49" t="s">
        <v>0</v>
      </c>
      <c r="T232" s="1">
        <f t="shared" ref="T232:Z232" si="72">T240+T248+T256+T264</f>
        <v>0</v>
      </c>
      <c r="U232" s="1">
        <f t="shared" si="72"/>
        <v>18179.999999999996</v>
      </c>
      <c r="V232" s="1">
        <f t="shared" si="72"/>
        <v>0</v>
      </c>
      <c r="W232" s="1">
        <f t="shared" si="72"/>
        <v>0</v>
      </c>
      <c r="X232" s="1">
        <f t="shared" si="72"/>
        <v>5201.7</v>
      </c>
      <c r="Y232" s="1">
        <f t="shared" si="72"/>
        <v>370.4</v>
      </c>
      <c r="Z232" s="1">
        <f t="shared" si="72"/>
        <v>0</v>
      </c>
      <c r="AA232" s="53">
        <f>T232+U232+V232+W232+X232+Y232</f>
        <v>23752.1</v>
      </c>
      <c r="AB232" s="52">
        <v>2023</v>
      </c>
      <c r="AC232" s="90"/>
    </row>
    <row r="233" spans="1:31" s="65" customFormat="1" ht="19.899999999999999" hidden="1" customHeight="1" x14ac:dyDescent="0.25">
      <c r="A233" s="48"/>
      <c r="B233" s="48"/>
      <c r="C233" s="48"/>
      <c r="D233" s="48" t="s">
        <v>18</v>
      </c>
      <c r="E233" s="48" t="s">
        <v>24</v>
      </c>
      <c r="F233" s="48" t="s">
        <v>18</v>
      </c>
      <c r="G233" s="48" t="s">
        <v>42</v>
      </c>
      <c r="H233" s="48" t="s">
        <v>19</v>
      </c>
      <c r="I233" s="48" t="s">
        <v>24</v>
      </c>
      <c r="J233" s="48" t="s">
        <v>18</v>
      </c>
      <c r="K233" s="48" t="s">
        <v>18</v>
      </c>
      <c r="L233" s="48" t="s">
        <v>20</v>
      </c>
      <c r="M233" s="48" t="s">
        <v>18</v>
      </c>
      <c r="N233" s="48" t="s">
        <v>18</v>
      </c>
      <c r="O233" s="48" t="s">
        <v>18</v>
      </c>
      <c r="P233" s="48" t="s">
        <v>18</v>
      </c>
      <c r="Q233" s="48" t="s">
        <v>18</v>
      </c>
      <c r="R233" s="157"/>
      <c r="S233" s="49" t="s">
        <v>0</v>
      </c>
      <c r="T233" s="1">
        <f t="shared" ref="T233:Z233" si="73">T242+T250+T258+T266</f>
        <v>0</v>
      </c>
      <c r="U233" s="1">
        <f t="shared" si="73"/>
        <v>896.59999999999991</v>
      </c>
      <c r="V233" s="1">
        <f t="shared" si="73"/>
        <v>569.79999999999995</v>
      </c>
      <c r="W233" s="1">
        <f t="shared" si="73"/>
        <v>112.2</v>
      </c>
      <c r="X233" s="1">
        <f t="shared" si="73"/>
        <v>2976.1</v>
      </c>
      <c r="Y233" s="1">
        <f t="shared" si="73"/>
        <v>0</v>
      </c>
      <c r="Z233" s="1">
        <f t="shared" si="73"/>
        <v>0</v>
      </c>
      <c r="AA233" s="53">
        <f>T233+U233+V233+W233+X233+Y233</f>
        <v>4554.7</v>
      </c>
      <c r="AB233" s="52">
        <v>2023</v>
      </c>
      <c r="AC233" s="90"/>
    </row>
    <row r="234" spans="1:31" s="65" customFormat="1" ht="63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67" t="s">
        <v>169</v>
      </c>
      <c r="S234" s="55" t="s">
        <v>50</v>
      </c>
      <c r="T234" s="3">
        <f>T274</f>
        <v>58.6</v>
      </c>
      <c r="U234" s="3">
        <f t="shared" ref="U234:Z234" si="74">U274+U267+U259+U251+U243</f>
        <v>38.200000000000003</v>
      </c>
      <c r="V234" s="3">
        <f t="shared" si="74"/>
        <v>0</v>
      </c>
      <c r="W234" s="3">
        <f t="shared" si="74"/>
        <v>0</v>
      </c>
      <c r="X234" s="3">
        <f>X274+X267+X259+X251+X243</f>
        <v>9.3000000000000007</v>
      </c>
      <c r="Y234" s="3">
        <f t="shared" si="74"/>
        <v>1.2</v>
      </c>
      <c r="Z234" s="3">
        <f t="shared" si="74"/>
        <v>0</v>
      </c>
      <c r="AA234" s="6">
        <f>SUM(T234:Z234)</f>
        <v>107.30000000000001</v>
      </c>
      <c r="AB234" s="37">
        <v>2023</v>
      </c>
      <c r="AC234" s="90"/>
    </row>
    <row r="235" spans="1:31" s="65" customFormat="1" ht="31.15" hidden="1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68" t="s">
        <v>49</v>
      </c>
      <c r="S235" s="55"/>
      <c r="T235" s="3">
        <f>T275</f>
        <v>28</v>
      </c>
      <c r="U235" s="3"/>
      <c r="V235" s="3"/>
      <c r="W235" s="3"/>
      <c r="X235" s="3"/>
      <c r="Y235" s="3"/>
      <c r="Z235" s="3"/>
      <c r="AA235" s="6"/>
      <c r="AB235" s="37">
        <v>2020</v>
      </c>
      <c r="AC235" s="90"/>
    </row>
    <row r="236" spans="1:31" s="65" customFormat="1" ht="31.5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69" t="s">
        <v>170</v>
      </c>
      <c r="S236" s="55" t="s">
        <v>37</v>
      </c>
      <c r="T236" s="40">
        <f>T275</f>
        <v>28</v>
      </c>
      <c r="U236" s="40">
        <f>U244+U252+U260+U268+U275</f>
        <v>20</v>
      </c>
      <c r="V236" s="40">
        <f>V244+V252+V260+V268</f>
        <v>0</v>
      </c>
      <c r="W236" s="40">
        <f>W244+W252+W260+W268</f>
        <v>0</v>
      </c>
      <c r="X236" s="40">
        <f>X244+X252+X260+X268</f>
        <v>7</v>
      </c>
      <c r="Y236" s="40">
        <f>Y244+Y252+Y260+Y268</f>
        <v>1</v>
      </c>
      <c r="Z236" s="40">
        <f>Z244+Z252+Z260+Z268</f>
        <v>0</v>
      </c>
      <c r="AA236" s="43">
        <f>SUM(T236:Z236)</f>
        <v>56</v>
      </c>
      <c r="AB236" s="37">
        <v>2023</v>
      </c>
      <c r="AC236" s="90"/>
      <c r="AD236" s="70"/>
    </row>
    <row r="237" spans="1:31" s="120" customFormat="1" ht="47.25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67" t="s">
        <v>305</v>
      </c>
      <c r="S237" s="46" t="s">
        <v>37</v>
      </c>
      <c r="T237" s="40">
        <v>0</v>
      </c>
      <c r="U237" s="40">
        <f>U245+U253+U261+U269</f>
        <v>20</v>
      </c>
      <c r="V237" s="40">
        <f>V245+V253+V261+V269</f>
        <v>14</v>
      </c>
      <c r="W237" s="40">
        <f>W245+W253+W261+W269</f>
        <v>2</v>
      </c>
      <c r="X237" s="40">
        <f>X245+X253+X261+X269</f>
        <v>7</v>
      </c>
      <c r="Y237" s="40">
        <v>0</v>
      </c>
      <c r="Z237" s="40">
        <v>0</v>
      </c>
      <c r="AA237" s="43">
        <f>SUM(T237:Z237)</f>
        <v>43</v>
      </c>
      <c r="AB237" s="37">
        <v>2022</v>
      </c>
      <c r="AC237" s="98"/>
      <c r="AD237" s="119"/>
    </row>
    <row r="238" spans="1:31" s="65" customFormat="1" x14ac:dyDescent="0.25">
      <c r="A238" s="48" t="s">
        <v>18</v>
      </c>
      <c r="B238" s="48" t="s">
        <v>18</v>
      </c>
      <c r="C238" s="48" t="s">
        <v>22</v>
      </c>
      <c r="D238" s="48" t="s">
        <v>18</v>
      </c>
      <c r="E238" s="48" t="s">
        <v>24</v>
      </c>
      <c r="F238" s="48" t="s">
        <v>18</v>
      </c>
      <c r="G238" s="48" t="s">
        <v>42</v>
      </c>
      <c r="H238" s="48" t="s">
        <v>19</v>
      </c>
      <c r="I238" s="48" t="s">
        <v>24</v>
      </c>
      <c r="J238" s="48" t="s">
        <v>18</v>
      </c>
      <c r="K238" s="48" t="s">
        <v>18</v>
      </c>
      <c r="L238" s="48" t="s">
        <v>20</v>
      </c>
      <c r="M238" s="48" t="s">
        <v>18</v>
      </c>
      <c r="N238" s="48" t="s">
        <v>18</v>
      </c>
      <c r="O238" s="48" t="s">
        <v>18</v>
      </c>
      <c r="P238" s="48" t="s">
        <v>18</v>
      </c>
      <c r="Q238" s="48" t="s">
        <v>18</v>
      </c>
      <c r="R238" s="157" t="s">
        <v>123</v>
      </c>
      <c r="S238" s="159" t="s">
        <v>0</v>
      </c>
      <c r="T238" s="53">
        <f>SUM(T240:T242)</f>
        <v>0</v>
      </c>
      <c r="U238" s="53">
        <f>SUM(U239:U242)</f>
        <v>26850.299999999996</v>
      </c>
      <c r="V238" s="53">
        <f t="shared" ref="V238:Z238" si="75">SUM(V239:V242)</f>
        <v>48.800000000000011</v>
      </c>
      <c r="W238" s="53">
        <f t="shared" si="75"/>
        <v>112.2</v>
      </c>
      <c r="X238" s="53">
        <f t="shared" si="75"/>
        <v>9283.2000000000007</v>
      </c>
      <c r="Y238" s="53">
        <f t="shared" si="75"/>
        <v>3820.5</v>
      </c>
      <c r="Z238" s="53">
        <f t="shared" si="75"/>
        <v>0</v>
      </c>
      <c r="AA238" s="53">
        <f>SUM(T238:Z238)</f>
        <v>40115</v>
      </c>
      <c r="AB238" s="52">
        <v>2023</v>
      </c>
      <c r="AC238" s="90"/>
      <c r="AD238" s="70"/>
    </row>
    <row r="239" spans="1:31" s="65" customFormat="1" x14ac:dyDescent="0.25">
      <c r="A239" s="48" t="s">
        <v>18</v>
      </c>
      <c r="B239" s="48" t="s">
        <v>18</v>
      </c>
      <c r="C239" s="48" t="s">
        <v>22</v>
      </c>
      <c r="D239" s="48" t="s">
        <v>18</v>
      </c>
      <c r="E239" s="48" t="s">
        <v>24</v>
      </c>
      <c r="F239" s="48" t="s">
        <v>18</v>
      </c>
      <c r="G239" s="48" t="s">
        <v>42</v>
      </c>
      <c r="H239" s="48" t="s">
        <v>19</v>
      </c>
      <c r="I239" s="48" t="s">
        <v>24</v>
      </c>
      <c r="J239" s="48" t="s">
        <v>18</v>
      </c>
      <c r="K239" s="48" t="s">
        <v>18</v>
      </c>
      <c r="L239" s="48" t="s">
        <v>20</v>
      </c>
      <c r="M239" s="48" t="s">
        <v>19</v>
      </c>
      <c r="N239" s="48" t="s">
        <v>18</v>
      </c>
      <c r="O239" s="48" t="s">
        <v>161</v>
      </c>
      <c r="P239" s="48" t="s">
        <v>21</v>
      </c>
      <c r="Q239" s="48" t="s">
        <v>25</v>
      </c>
      <c r="R239" s="157"/>
      <c r="S239" s="160"/>
      <c r="T239" s="1">
        <v>0</v>
      </c>
      <c r="U239" s="1">
        <f>16800.1+4329.1</f>
        <v>21129.199999999997</v>
      </c>
      <c r="V239" s="1">
        <v>0</v>
      </c>
      <c r="W239" s="1">
        <v>0</v>
      </c>
      <c r="X239" s="1">
        <f>5758.9-57.6</f>
        <v>5701.2999999999993</v>
      </c>
      <c r="Y239" s="1">
        <f>0+4916.2-1583.1</f>
        <v>3333.1</v>
      </c>
      <c r="Z239" s="1">
        <v>0</v>
      </c>
      <c r="AA239" s="53">
        <f t="shared" ref="AA239" si="76">SUM(T239:Z239)</f>
        <v>30163.599999999995</v>
      </c>
      <c r="AB239" s="52">
        <v>2023</v>
      </c>
      <c r="AC239" s="90"/>
      <c r="AD239" s="70"/>
    </row>
    <row r="240" spans="1:31" s="65" customFormat="1" x14ac:dyDescent="0.25">
      <c r="A240" s="48" t="s">
        <v>18</v>
      </c>
      <c r="B240" s="48" t="s">
        <v>18</v>
      </c>
      <c r="C240" s="48" t="s">
        <v>22</v>
      </c>
      <c r="D240" s="48" t="s">
        <v>18</v>
      </c>
      <c r="E240" s="48" t="s">
        <v>24</v>
      </c>
      <c r="F240" s="48" t="s">
        <v>18</v>
      </c>
      <c r="G240" s="48" t="s">
        <v>42</v>
      </c>
      <c r="H240" s="48" t="s">
        <v>19</v>
      </c>
      <c r="I240" s="48" t="s">
        <v>24</v>
      </c>
      <c r="J240" s="48" t="s">
        <v>18</v>
      </c>
      <c r="K240" s="48" t="s">
        <v>18</v>
      </c>
      <c r="L240" s="48" t="s">
        <v>20</v>
      </c>
      <c r="M240" s="48" t="s">
        <v>36</v>
      </c>
      <c r="N240" s="48" t="s">
        <v>18</v>
      </c>
      <c r="O240" s="48" t="s">
        <v>161</v>
      </c>
      <c r="P240" s="48" t="s">
        <v>21</v>
      </c>
      <c r="Q240" s="48" t="s">
        <v>25</v>
      </c>
      <c r="R240" s="157"/>
      <c r="S240" s="160"/>
      <c r="T240" s="1">
        <v>0</v>
      </c>
      <c r="U240" s="1">
        <f>4199.9+2224.5-291-681.9</f>
        <v>5451.5</v>
      </c>
      <c r="V240" s="1">
        <f>2529.4-2529.4</f>
        <v>0</v>
      </c>
      <c r="W240" s="1">
        <f>2800-2800</f>
        <v>0</v>
      </c>
      <c r="X240" s="1">
        <f>1439.7-14.3-99.8</f>
        <v>1325.6000000000001</v>
      </c>
      <c r="Y240" s="1">
        <f>0+546.3-175.9</f>
        <v>370.4</v>
      </c>
      <c r="Z240" s="1">
        <f t="shared" ref="Z240" si="77">2800-2800</f>
        <v>0</v>
      </c>
      <c r="AA240" s="53">
        <f>SUM(T240:Z240)</f>
        <v>7147.5</v>
      </c>
      <c r="AB240" s="52">
        <v>2023</v>
      </c>
      <c r="AC240" s="90"/>
      <c r="AD240" s="70"/>
    </row>
    <row r="241" spans="1:30" s="65" customFormat="1" x14ac:dyDescent="0.25">
      <c r="A241" s="48" t="s">
        <v>18</v>
      </c>
      <c r="B241" s="48" t="s">
        <v>18</v>
      </c>
      <c r="C241" s="48" t="s">
        <v>22</v>
      </c>
      <c r="D241" s="48" t="s">
        <v>18</v>
      </c>
      <c r="E241" s="48" t="s">
        <v>24</v>
      </c>
      <c r="F241" s="48" t="s">
        <v>18</v>
      </c>
      <c r="G241" s="48" t="s">
        <v>42</v>
      </c>
      <c r="H241" s="48" t="s">
        <v>19</v>
      </c>
      <c r="I241" s="48" t="s">
        <v>24</v>
      </c>
      <c r="J241" s="48" t="s">
        <v>18</v>
      </c>
      <c r="K241" s="48" t="s">
        <v>18</v>
      </c>
      <c r="L241" s="48" t="s">
        <v>20</v>
      </c>
      <c r="M241" s="48" t="s">
        <v>18</v>
      </c>
      <c r="N241" s="48" t="s">
        <v>18</v>
      </c>
      <c r="O241" s="48" t="s">
        <v>161</v>
      </c>
      <c r="P241" s="48" t="s">
        <v>21</v>
      </c>
      <c r="Q241" s="48" t="s">
        <v>25</v>
      </c>
      <c r="R241" s="157"/>
      <c r="S241" s="160"/>
      <c r="T241" s="1">
        <v>0</v>
      </c>
      <c r="U241" s="1">
        <v>0</v>
      </c>
      <c r="V241" s="1">
        <v>0</v>
      </c>
      <c r="W241" s="1">
        <v>0</v>
      </c>
      <c r="X241" s="1">
        <f>154.1-24.5</f>
        <v>129.6</v>
      </c>
      <c r="Y241" s="1">
        <v>117</v>
      </c>
      <c r="Z241" s="1">
        <v>0</v>
      </c>
      <c r="AA241" s="53">
        <f>SUM(T241:Z241)</f>
        <v>246.6</v>
      </c>
      <c r="AB241" s="52">
        <v>2023</v>
      </c>
      <c r="AC241" s="90"/>
      <c r="AD241" s="70"/>
    </row>
    <row r="242" spans="1:30" s="65" customFormat="1" x14ac:dyDescent="0.25">
      <c r="A242" s="48" t="s">
        <v>18</v>
      </c>
      <c r="B242" s="48" t="s">
        <v>18</v>
      </c>
      <c r="C242" s="48" t="s">
        <v>22</v>
      </c>
      <c r="D242" s="48" t="s">
        <v>18</v>
      </c>
      <c r="E242" s="48" t="s">
        <v>24</v>
      </c>
      <c r="F242" s="48" t="s">
        <v>18</v>
      </c>
      <c r="G242" s="48" t="s">
        <v>42</v>
      </c>
      <c r="H242" s="48" t="s">
        <v>19</v>
      </c>
      <c r="I242" s="48" t="s">
        <v>24</v>
      </c>
      <c r="J242" s="48" t="s">
        <v>18</v>
      </c>
      <c r="K242" s="48" t="s">
        <v>18</v>
      </c>
      <c r="L242" s="48" t="s">
        <v>20</v>
      </c>
      <c r="M242" s="48" t="s">
        <v>42</v>
      </c>
      <c r="N242" s="48" t="s">
        <v>42</v>
      </c>
      <c r="O242" s="48" t="s">
        <v>42</v>
      </c>
      <c r="P242" s="48" t="s">
        <v>42</v>
      </c>
      <c r="Q242" s="48" t="s">
        <v>42</v>
      </c>
      <c r="R242" s="157"/>
      <c r="S242" s="161"/>
      <c r="T242" s="1">
        <v>0</v>
      </c>
      <c r="U242" s="1">
        <f>164.3-164.3+200+449.4+50.8-371.3-59.3</f>
        <v>269.59999999999991</v>
      </c>
      <c r="V242" s="1">
        <f>270.6-221.8</f>
        <v>48.800000000000011</v>
      </c>
      <c r="W242" s="1">
        <f>0+160-47.8</f>
        <v>112.2</v>
      </c>
      <c r="X242" s="1">
        <f>50+2011.7+65</f>
        <v>2126.6999999999998</v>
      </c>
      <c r="Y242" s="1">
        <v>0</v>
      </c>
      <c r="Z242" s="1">
        <v>0</v>
      </c>
      <c r="AA242" s="53">
        <f t="shared" ref="AA242" si="78">SUM(T242:Z242)</f>
        <v>2557.2999999999997</v>
      </c>
      <c r="AB242" s="52">
        <v>2022</v>
      </c>
      <c r="AC242" s="90"/>
      <c r="AD242" s="70"/>
    </row>
    <row r="243" spans="1:30" s="65" customFormat="1" ht="64.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67" t="s">
        <v>251</v>
      </c>
      <c r="S243" s="55" t="s">
        <v>41</v>
      </c>
      <c r="T243" s="3">
        <v>0</v>
      </c>
      <c r="U243" s="3">
        <v>11.6</v>
      </c>
      <c r="V243" s="3">
        <f>6.8-6.8</f>
        <v>0</v>
      </c>
      <c r="W243" s="3">
        <v>0</v>
      </c>
      <c r="X243" s="3">
        <f>2.2+0.5</f>
        <v>2.7</v>
      </c>
      <c r="Y243" s="3">
        <v>1.2</v>
      </c>
      <c r="Z243" s="3">
        <v>0</v>
      </c>
      <c r="AA243" s="6">
        <f>SUM(T243:Z243)</f>
        <v>15.5</v>
      </c>
      <c r="AB243" s="37">
        <v>2023</v>
      </c>
      <c r="AC243" s="90"/>
    </row>
    <row r="244" spans="1:30" s="65" customFormat="1" ht="47.25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69" t="s">
        <v>252</v>
      </c>
      <c r="S244" s="55" t="s">
        <v>37</v>
      </c>
      <c r="T244" s="40">
        <v>0</v>
      </c>
      <c r="U244" s="40">
        <v>8</v>
      </c>
      <c r="V244" s="40">
        <f>3-3</f>
        <v>0</v>
      </c>
      <c r="W244" s="40">
        <v>0</v>
      </c>
      <c r="X244" s="40">
        <v>2</v>
      </c>
      <c r="Y244" s="40">
        <v>1</v>
      </c>
      <c r="Z244" s="40">
        <v>0</v>
      </c>
      <c r="AA244" s="43">
        <f>SUM(T244:Z244)</f>
        <v>11</v>
      </c>
      <c r="AB244" s="37">
        <v>2023</v>
      </c>
      <c r="AC244" s="90"/>
      <c r="AD244" s="70"/>
    </row>
    <row r="245" spans="1:30" s="120" customFormat="1" ht="63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67" t="s">
        <v>324</v>
      </c>
      <c r="S245" s="46" t="s">
        <v>37</v>
      </c>
      <c r="T245" s="40">
        <v>0</v>
      </c>
      <c r="U245" s="40">
        <v>8</v>
      </c>
      <c r="V245" s="40">
        <v>5</v>
      </c>
      <c r="W245" s="40">
        <v>2</v>
      </c>
      <c r="X245" s="40">
        <v>2</v>
      </c>
      <c r="Y245" s="40">
        <v>0</v>
      </c>
      <c r="Z245" s="40">
        <v>0</v>
      </c>
      <c r="AA245" s="43">
        <f>SUM(T245:Z245)</f>
        <v>17</v>
      </c>
      <c r="AB245" s="37">
        <v>2022</v>
      </c>
      <c r="AC245" s="98"/>
      <c r="AD245" s="119"/>
    </row>
    <row r="246" spans="1:30" s="65" customFormat="1" x14ac:dyDescent="0.25">
      <c r="A246" s="48" t="s">
        <v>18</v>
      </c>
      <c r="B246" s="48" t="s">
        <v>18</v>
      </c>
      <c r="C246" s="48" t="s">
        <v>24</v>
      </c>
      <c r="D246" s="48" t="s">
        <v>18</v>
      </c>
      <c r="E246" s="48" t="s">
        <v>24</v>
      </c>
      <c r="F246" s="48" t="s">
        <v>18</v>
      </c>
      <c r="G246" s="48" t="s">
        <v>42</v>
      </c>
      <c r="H246" s="48" t="s">
        <v>19</v>
      </c>
      <c r="I246" s="48" t="s">
        <v>24</v>
      </c>
      <c r="J246" s="48" t="s">
        <v>18</v>
      </c>
      <c r="K246" s="48" t="s">
        <v>18</v>
      </c>
      <c r="L246" s="48" t="s">
        <v>20</v>
      </c>
      <c r="M246" s="48" t="s">
        <v>18</v>
      </c>
      <c r="N246" s="48" t="s">
        <v>18</v>
      </c>
      <c r="O246" s="48" t="s">
        <v>18</v>
      </c>
      <c r="P246" s="48" t="s">
        <v>18</v>
      </c>
      <c r="Q246" s="48" t="s">
        <v>18</v>
      </c>
      <c r="R246" s="157" t="s">
        <v>123</v>
      </c>
      <c r="S246" s="159" t="s">
        <v>0</v>
      </c>
      <c r="T246" s="53">
        <f>T248+T250</f>
        <v>0</v>
      </c>
      <c r="U246" s="53">
        <f>SUM(U247:U250)</f>
        <v>22882.399999999998</v>
      </c>
      <c r="V246" s="53">
        <f t="shared" ref="V246:X246" si="79">SUM(V247:V250)</f>
        <v>0</v>
      </c>
      <c r="W246" s="53">
        <f t="shared" si="79"/>
        <v>0</v>
      </c>
      <c r="X246" s="53">
        <f t="shared" si="79"/>
        <v>13894.7</v>
      </c>
      <c r="Y246" s="53">
        <f t="shared" ref="Y246:Z246" si="80">SUM(Y247:Y250)</f>
        <v>0</v>
      </c>
      <c r="Z246" s="53">
        <f t="shared" si="80"/>
        <v>0</v>
      </c>
      <c r="AA246" s="53">
        <f>SUM(T246:Z246)</f>
        <v>36777.1</v>
      </c>
      <c r="AB246" s="52">
        <v>2022</v>
      </c>
      <c r="AC246" s="90"/>
    </row>
    <row r="247" spans="1:30" s="65" customFormat="1" x14ac:dyDescent="0.25">
      <c r="A247" s="48" t="s">
        <v>18</v>
      </c>
      <c r="B247" s="48" t="s">
        <v>18</v>
      </c>
      <c r="C247" s="48" t="s">
        <v>24</v>
      </c>
      <c r="D247" s="48" t="s">
        <v>18</v>
      </c>
      <c r="E247" s="48" t="s">
        <v>24</v>
      </c>
      <c r="F247" s="48" t="s">
        <v>18</v>
      </c>
      <c r="G247" s="48" t="s">
        <v>42</v>
      </c>
      <c r="H247" s="48" t="s">
        <v>19</v>
      </c>
      <c r="I247" s="48" t="s">
        <v>24</v>
      </c>
      <c r="J247" s="48" t="s">
        <v>18</v>
      </c>
      <c r="K247" s="48" t="s">
        <v>18</v>
      </c>
      <c r="L247" s="48" t="s">
        <v>20</v>
      </c>
      <c r="M247" s="48" t="s">
        <v>19</v>
      </c>
      <c r="N247" s="48" t="s">
        <v>18</v>
      </c>
      <c r="O247" s="48" t="s">
        <v>161</v>
      </c>
      <c r="P247" s="48" t="s">
        <v>21</v>
      </c>
      <c r="Q247" s="48" t="s">
        <v>25</v>
      </c>
      <c r="R247" s="157"/>
      <c r="S247" s="160"/>
      <c r="T247" s="1">
        <f>T250+T251</f>
        <v>0</v>
      </c>
      <c r="U247" s="1">
        <f>14400.1+2862.7</f>
        <v>17262.8</v>
      </c>
      <c r="V247" s="1">
        <v>0</v>
      </c>
      <c r="W247" s="1">
        <v>0</v>
      </c>
      <c r="X247" s="1">
        <v>11517.2</v>
      </c>
      <c r="Y247" s="1">
        <v>0</v>
      </c>
      <c r="Z247" s="1">
        <v>0</v>
      </c>
      <c r="AA247" s="53">
        <f t="shared" ref="AA247:AA250" si="81">SUM(T247:Z247)</f>
        <v>28780</v>
      </c>
      <c r="AB247" s="52">
        <v>2022</v>
      </c>
      <c r="AC247" s="90"/>
    </row>
    <row r="248" spans="1:30" s="65" customFormat="1" x14ac:dyDescent="0.25">
      <c r="A248" s="48" t="s">
        <v>18</v>
      </c>
      <c r="B248" s="48" t="s">
        <v>18</v>
      </c>
      <c r="C248" s="48" t="s">
        <v>24</v>
      </c>
      <c r="D248" s="48" t="s">
        <v>18</v>
      </c>
      <c r="E248" s="48" t="s">
        <v>24</v>
      </c>
      <c r="F248" s="48" t="s">
        <v>18</v>
      </c>
      <c r="G248" s="48" t="s">
        <v>42</v>
      </c>
      <c r="H248" s="48" t="s">
        <v>19</v>
      </c>
      <c r="I248" s="48" t="s">
        <v>24</v>
      </c>
      <c r="J248" s="48" t="s">
        <v>18</v>
      </c>
      <c r="K248" s="48" t="s">
        <v>18</v>
      </c>
      <c r="L248" s="48" t="s">
        <v>20</v>
      </c>
      <c r="M248" s="48" t="s">
        <v>36</v>
      </c>
      <c r="N248" s="48" t="s">
        <v>18</v>
      </c>
      <c r="O248" s="48" t="s">
        <v>161</v>
      </c>
      <c r="P248" s="48" t="s">
        <v>21</v>
      </c>
      <c r="Q248" s="48" t="s">
        <v>25</v>
      </c>
      <c r="R248" s="157"/>
      <c r="S248" s="160"/>
      <c r="T248" s="1">
        <v>0</v>
      </c>
      <c r="U248" s="1">
        <f>3599.9+2545.7-290-443.1</f>
        <v>5412.5</v>
      </c>
      <c r="V248" s="1">
        <f>1096.5-1096.5</f>
        <v>0</v>
      </c>
      <c r="W248" s="1">
        <f>1500-1500</f>
        <v>0</v>
      </c>
      <c r="X248" s="1">
        <f>2879.8-831.9</f>
        <v>2047.9</v>
      </c>
      <c r="Y248" s="1">
        <f>1500-1500</f>
        <v>0</v>
      </c>
      <c r="Z248" s="1">
        <f>1500-1500</f>
        <v>0</v>
      </c>
      <c r="AA248" s="53">
        <f t="shared" si="81"/>
        <v>7460.4</v>
      </c>
      <c r="AB248" s="52">
        <v>2022</v>
      </c>
      <c r="AC248" s="90"/>
    </row>
    <row r="249" spans="1:30" s="65" customFormat="1" x14ac:dyDescent="0.25">
      <c r="A249" s="48" t="s">
        <v>18</v>
      </c>
      <c r="B249" s="48" t="s">
        <v>18</v>
      </c>
      <c r="C249" s="48" t="s">
        <v>24</v>
      </c>
      <c r="D249" s="48" t="s">
        <v>18</v>
      </c>
      <c r="E249" s="48" t="s">
        <v>24</v>
      </c>
      <c r="F249" s="48" t="s">
        <v>18</v>
      </c>
      <c r="G249" s="48" t="s">
        <v>42</v>
      </c>
      <c r="H249" s="48" t="s">
        <v>19</v>
      </c>
      <c r="I249" s="48" t="s">
        <v>24</v>
      </c>
      <c r="J249" s="48" t="s">
        <v>18</v>
      </c>
      <c r="K249" s="48" t="s">
        <v>18</v>
      </c>
      <c r="L249" s="48" t="s">
        <v>20</v>
      </c>
      <c r="M249" s="48" t="s">
        <v>18</v>
      </c>
      <c r="N249" s="48" t="s">
        <v>18</v>
      </c>
      <c r="O249" s="48" t="s">
        <v>161</v>
      </c>
      <c r="P249" s="48" t="s">
        <v>21</v>
      </c>
      <c r="Q249" s="48" t="s">
        <v>25</v>
      </c>
      <c r="R249" s="157"/>
      <c r="S249" s="160"/>
      <c r="T249" s="1">
        <v>0</v>
      </c>
      <c r="U249" s="1">
        <v>0</v>
      </c>
      <c r="V249" s="1">
        <v>0</v>
      </c>
      <c r="W249" s="1">
        <f>1500-1500</f>
        <v>0</v>
      </c>
      <c r="X249" s="1">
        <v>329.6</v>
      </c>
      <c r="Y249" s="1">
        <f>1500-1500</f>
        <v>0</v>
      </c>
      <c r="Z249" s="1">
        <f>1500-1500</f>
        <v>0</v>
      </c>
      <c r="AA249" s="53">
        <f t="shared" si="81"/>
        <v>329.6</v>
      </c>
      <c r="AB249" s="52">
        <v>2022</v>
      </c>
      <c r="AC249" s="90"/>
    </row>
    <row r="250" spans="1:30" s="65" customFormat="1" x14ac:dyDescent="0.25">
      <c r="A250" s="48" t="s">
        <v>18</v>
      </c>
      <c r="B250" s="48" t="s">
        <v>18</v>
      </c>
      <c r="C250" s="48" t="s">
        <v>24</v>
      </c>
      <c r="D250" s="48" t="s">
        <v>18</v>
      </c>
      <c r="E250" s="48" t="s">
        <v>24</v>
      </c>
      <c r="F250" s="48" t="s">
        <v>18</v>
      </c>
      <c r="G250" s="48" t="s">
        <v>42</v>
      </c>
      <c r="H250" s="48" t="s">
        <v>19</v>
      </c>
      <c r="I250" s="48" t="s">
        <v>24</v>
      </c>
      <c r="J250" s="48" t="s">
        <v>18</v>
      </c>
      <c r="K250" s="48" t="s">
        <v>18</v>
      </c>
      <c r="L250" s="48" t="s">
        <v>20</v>
      </c>
      <c r="M250" s="48" t="s">
        <v>42</v>
      </c>
      <c r="N250" s="48" t="s">
        <v>42</v>
      </c>
      <c r="O250" s="48" t="s">
        <v>42</v>
      </c>
      <c r="P250" s="48" t="s">
        <v>42</v>
      </c>
      <c r="Q250" s="48" t="s">
        <v>42</v>
      </c>
      <c r="R250" s="157"/>
      <c r="S250" s="161"/>
      <c r="T250" s="1">
        <v>0</v>
      </c>
      <c r="U250" s="1">
        <f>145-145+100+385.2+30.4-308.5</f>
        <v>207.10000000000002</v>
      </c>
      <c r="V250" s="1">
        <f>403.5-403.5</f>
        <v>0</v>
      </c>
      <c r="W250" s="1">
        <v>0</v>
      </c>
      <c r="X250" s="1">
        <v>0</v>
      </c>
      <c r="Y250" s="1">
        <v>0</v>
      </c>
      <c r="Z250" s="1">
        <v>0</v>
      </c>
      <c r="AA250" s="53">
        <f t="shared" si="81"/>
        <v>207.10000000000002</v>
      </c>
      <c r="AB250" s="52">
        <v>2019</v>
      </c>
      <c r="AC250" s="90"/>
    </row>
    <row r="251" spans="1:30" s="65" customFormat="1" ht="63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67" t="s">
        <v>253</v>
      </c>
      <c r="S251" s="55" t="s">
        <v>50</v>
      </c>
      <c r="T251" s="3">
        <v>0</v>
      </c>
      <c r="U251" s="3">
        <v>10.6</v>
      </c>
      <c r="V251" s="3">
        <f>3-3</f>
        <v>0</v>
      </c>
      <c r="W251" s="3">
        <v>0</v>
      </c>
      <c r="X251" s="3">
        <v>3.7</v>
      </c>
      <c r="Y251" s="3">
        <v>0</v>
      </c>
      <c r="Z251" s="3">
        <v>0</v>
      </c>
      <c r="AA251" s="6">
        <f>SUM(T251:Z251)</f>
        <v>14.3</v>
      </c>
      <c r="AB251" s="37">
        <v>2022</v>
      </c>
      <c r="AC251" s="90"/>
    </row>
    <row r="252" spans="1:30" s="65" customFormat="1" ht="47.25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69" t="s">
        <v>254</v>
      </c>
      <c r="S252" s="55" t="s">
        <v>37</v>
      </c>
      <c r="T252" s="40">
        <v>0</v>
      </c>
      <c r="U252" s="40">
        <v>4</v>
      </c>
      <c r="V252" s="40">
        <f>2-2</f>
        <v>0</v>
      </c>
      <c r="W252" s="40">
        <v>0</v>
      </c>
      <c r="X252" s="40">
        <v>3</v>
      </c>
      <c r="Y252" s="40">
        <v>0</v>
      </c>
      <c r="Z252" s="40">
        <v>0</v>
      </c>
      <c r="AA252" s="43">
        <f>SUM(T252:Z252)</f>
        <v>7</v>
      </c>
      <c r="AB252" s="37">
        <v>2022</v>
      </c>
      <c r="AC252" s="90"/>
      <c r="AD252" s="70"/>
    </row>
    <row r="253" spans="1:30" s="120" customFormat="1" ht="48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144" t="s">
        <v>261</v>
      </c>
      <c r="S253" s="46" t="s">
        <v>37</v>
      </c>
      <c r="T253" s="40">
        <v>0</v>
      </c>
      <c r="U253" s="40">
        <v>4</v>
      </c>
      <c r="V253" s="40">
        <v>0</v>
      </c>
      <c r="W253" s="40">
        <v>0</v>
      </c>
      <c r="X253" s="40">
        <v>3</v>
      </c>
      <c r="Y253" s="40">
        <v>0</v>
      </c>
      <c r="Z253" s="40">
        <v>0</v>
      </c>
      <c r="AA253" s="43">
        <f>SUM(T253:Z253)</f>
        <v>7</v>
      </c>
      <c r="AB253" s="37">
        <v>2022</v>
      </c>
      <c r="AC253" s="98"/>
      <c r="AD253" s="119"/>
    </row>
    <row r="254" spans="1:30" s="65" customFormat="1" x14ac:dyDescent="0.25">
      <c r="A254" s="48" t="s">
        <v>18</v>
      </c>
      <c r="B254" s="48" t="s">
        <v>18</v>
      </c>
      <c r="C254" s="48" t="s">
        <v>21</v>
      </c>
      <c r="D254" s="48" t="s">
        <v>18</v>
      </c>
      <c r="E254" s="48" t="s">
        <v>24</v>
      </c>
      <c r="F254" s="48" t="s">
        <v>18</v>
      </c>
      <c r="G254" s="48" t="s">
        <v>42</v>
      </c>
      <c r="H254" s="48" t="s">
        <v>19</v>
      </c>
      <c r="I254" s="48" t="s">
        <v>24</v>
      </c>
      <c r="J254" s="48" t="s">
        <v>18</v>
      </c>
      <c r="K254" s="48" t="s">
        <v>18</v>
      </c>
      <c r="L254" s="48" t="s">
        <v>20</v>
      </c>
      <c r="M254" s="48" t="s">
        <v>18</v>
      </c>
      <c r="N254" s="48" t="s">
        <v>18</v>
      </c>
      <c r="O254" s="48" t="s">
        <v>18</v>
      </c>
      <c r="P254" s="48" t="s">
        <v>18</v>
      </c>
      <c r="Q254" s="48" t="s">
        <v>18</v>
      </c>
      <c r="R254" s="157" t="s">
        <v>123</v>
      </c>
      <c r="S254" s="159" t="s">
        <v>0</v>
      </c>
      <c r="T254" s="53">
        <f>T256+T258</f>
        <v>0</v>
      </c>
      <c r="U254" s="53">
        <f>SUM(U255:U258)</f>
        <v>25870.1</v>
      </c>
      <c r="V254" s="53">
        <f t="shared" ref="V254:X254" si="82">SUM(V255:V258)</f>
        <v>30</v>
      </c>
      <c r="W254" s="53">
        <f t="shared" si="82"/>
        <v>0</v>
      </c>
      <c r="X254" s="53">
        <f t="shared" si="82"/>
        <v>5293</v>
      </c>
      <c r="Y254" s="53">
        <f t="shared" ref="Y254:Z254" si="83">SUM(Y255:Y258)</f>
        <v>0</v>
      </c>
      <c r="Z254" s="53">
        <f t="shared" si="83"/>
        <v>0</v>
      </c>
      <c r="AA254" s="53">
        <f>SUM(T254:Z254)</f>
        <v>31193.1</v>
      </c>
      <c r="AB254" s="52">
        <v>2022</v>
      </c>
      <c r="AC254" s="90"/>
    </row>
    <row r="255" spans="1:30" s="65" customFormat="1" x14ac:dyDescent="0.25">
      <c r="A255" s="48" t="s">
        <v>18</v>
      </c>
      <c r="B255" s="48" t="s">
        <v>18</v>
      </c>
      <c r="C255" s="48" t="s">
        <v>21</v>
      </c>
      <c r="D255" s="48" t="s">
        <v>18</v>
      </c>
      <c r="E255" s="48" t="s">
        <v>24</v>
      </c>
      <c r="F255" s="48" t="s">
        <v>18</v>
      </c>
      <c r="G255" s="48" t="s">
        <v>42</v>
      </c>
      <c r="H255" s="48" t="s">
        <v>19</v>
      </c>
      <c r="I255" s="48" t="s">
        <v>24</v>
      </c>
      <c r="J255" s="48" t="s">
        <v>18</v>
      </c>
      <c r="K255" s="48" t="s">
        <v>18</v>
      </c>
      <c r="L255" s="48" t="s">
        <v>20</v>
      </c>
      <c r="M255" s="48" t="s">
        <v>19</v>
      </c>
      <c r="N255" s="48" t="s">
        <v>18</v>
      </c>
      <c r="O255" s="48" t="s">
        <v>161</v>
      </c>
      <c r="P255" s="48" t="s">
        <v>21</v>
      </c>
      <c r="Q255" s="48" t="s">
        <v>25</v>
      </c>
      <c r="R255" s="157"/>
      <c r="S255" s="160"/>
      <c r="T255" s="1">
        <v>0</v>
      </c>
      <c r="U255" s="1">
        <f>16800.1+3497.2</f>
        <v>20297.3</v>
      </c>
      <c r="V255" s="1">
        <v>0</v>
      </c>
      <c r="W255" s="1">
        <v>0</v>
      </c>
      <c r="X255" s="1">
        <f>5566.2-1385.8</f>
        <v>4180.3999999999996</v>
      </c>
      <c r="Y255" s="1">
        <v>0</v>
      </c>
      <c r="Z255" s="1">
        <v>0</v>
      </c>
      <c r="AA255" s="53">
        <f t="shared" ref="AA255:AA257" si="84">SUM(T255:Z255)</f>
        <v>24477.699999999997</v>
      </c>
      <c r="AB255" s="52">
        <v>2022</v>
      </c>
      <c r="AC255" s="90"/>
    </row>
    <row r="256" spans="1:30" s="65" customFormat="1" x14ac:dyDescent="0.25">
      <c r="A256" s="48" t="s">
        <v>18</v>
      </c>
      <c r="B256" s="48" t="s">
        <v>18</v>
      </c>
      <c r="C256" s="48" t="s">
        <v>21</v>
      </c>
      <c r="D256" s="48" t="s">
        <v>18</v>
      </c>
      <c r="E256" s="48" t="s">
        <v>24</v>
      </c>
      <c r="F256" s="48" t="s">
        <v>18</v>
      </c>
      <c r="G256" s="48" t="s">
        <v>42</v>
      </c>
      <c r="H256" s="48" t="s">
        <v>19</v>
      </c>
      <c r="I256" s="48" t="s">
        <v>24</v>
      </c>
      <c r="J256" s="48" t="s">
        <v>18</v>
      </c>
      <c r="K256" s="48" t="s">
        <v>18</v>
      </c>
      <c r="L256" s="48" t="s">
        <v>20</v>
      </c>
      <c r="M256" s="48" t="s">
        <v>36</v>
      </c>
      <c r="N256" s="48" t="s">
        <v>18</v>
      </c>
      <c r="O256" s="48" t="s">
        <v>161</v>
      </c>
      <c r="P256" s="48" t="s">
        <v>21</v>
      </c>
      <c r="Q256" s="48" t="s">
        <v>25</v>
      </c>
      <c r="R256" s="157"/>
      <c r="S256" s="160"/>
      <c r="T256" s="1">
        <v>0</v>
      </c>
      <c r="U256" s="1">
        <f>4199.9+588.4+1708.4-290-845.8</f>
        <v>5360.8999999999987</v>
      </c>
      <c r="V256" s="1">
        <f>1355-1355</f>
        <v>0</v>
      </c>
      <c r="W256" s="1">
        <f>1500-1500</f>
        <v>0</v>
      </c>
      <c r="X256" s="1">
        <f>1045.1-13.1</f>
        <v>1032</v>
      </c>
      <c r="Y256" s="1">
        <f>1500-1500</f>
        <v>0</v>
      </c>
      <c r="Z256" s="1">
        <f>1500-1500</f>
        <v>0</v>
      </c>
      <c r="AA256" s="53">
        <f t="shared" si="84"/>
        <v>6392.8999999999987</v>
      </c>
      <c r="AB256" s="52">
        <v>2022</v>
      </c>
      <c r="AC256" s="90"/>
    </row>
    <row r="257" spans="1:30" s="65" customFormat="1" x14ac:dyDescent="0.25">
      <c r="A257" s="48" t="s">
        <v>18</v>
      </c>
      <c r="B257" s="48" t="s">
        <v>18</v>
      </c>
      <c r="C257" s="48" t="s">
        <v>21</v>
      </c>
      <c r="D257" s="48" t="s">
        <v>18</v>
      </c>
      <c r="E257" s="48" t="s">
        <v>24</v>
      </c>
      <c r="F257" s="48" t="s">
        <v>18</v>
      </c>
      <c r="G257" s="48" t="s">
        <v>42</v>
      </c>
      <c r="H257" s="48" t="s">
        <v>19</v>
      </c>
      <c r="I257" s="48" t="s">
        <v>24</v>
      </c>
      <c r="J257" s="48" t="s">
        <v>18</v>
      </c>
      <c r="K257" s="48" t="s">
        <v>18</v>
      </c>
      <c r="L257" s="48" t="s">
        <v>20</v>
      </c>
      <c r="M257" s="48" t="s">
        <v>18</v>
      </c>
      <c r="N257" s="48" t="s">
        <v>18</v>
      </c>
      <c r="O257" s="48" t="s">
        <v>161</v>
      </c>
      <c r="P257" s="48" t="s">
        <v>21</v>
      </c>
      <c r="Q257" s="48" t="s">
        <v>25</v>
      </c>
      <c r="R257" s="157"/>
      <c r="S257" s="160"/>
      <c r="T257" s="1">
        <v>0</v>
      </c>
      <c r="U257" s="1">
        <v>0</v>
      </c>
      <c r="V257" s="1">
        <v>0</v>
      </c>
      <c r="W257" s="1">
        <v>0</v>
      </c>
      <c r="X257" s="1">
        <f>111.9-31.3</f>
        <v>80.600000000000009</v>
      </c>
      <c r="Y257" s="1">
        <v>0</v>
      </c>
      <c r="Z257" s="1">
        <v>0</v>
      </c>
      <c r="AA257" s="53">
        <f t="shared" si="84"/>
        <v>80.600000000000009</v>
      </c>
      <c r="AB257" s="52">
        <v>2022</v>
      </c>
      <c r="AC257" s="90"/>
    </row>
    <row r="258" spans="1:30" s="65" customFormat="1" x14ac:dyDescent="0.25">
      <c r="A258" s="48" t="s">
        <v>18</v>
      </c>
      <c r="B258" s="48" t="s">
        <v>18</v>
      </c>
      <c r="C258" s="48" t="s">
        <v>21</v>
      </c>
      <c r="D258" s="48" t="s">
        <v>18</v>
      </c>
      <c r="E258" s="48" t="s">
        <v>24</v>
      </c>
      <c r="F258" s="48" t="s">
        <v>18</v>
      </c>
      <c r="G258" s="48" t="s">
        <v>42</v>
      </c>
      <c r="H258" s="48" t="s">
        <v>19</v>
      </c>
      <c r="I258" s="48" t="s">
        <v>24</v>
      </c>
      <c r="J258" s="48" t="s">
        <v>18</v>
      </c>
      <c r="K258" s="48" t="s">
        <v>18</v>
      </c>
      <c r="L258" s="48" t="s">
        <v>20</v>
      </c>
      <c r="M258" s="48" t="s">
        <v>42</v>
      </c>
      <c r="N258" s="48" t="s">
        <v>42</v>
      </c>
      <c r="O258" s="48" t="s">
        <v>42</v>
      </c>
      <c r="P258" s="48" t="s">
        <v>42</v>
      </c>
      <c r="Q258" s="48" t="s">
        <v>42</v>
      </c>
      <c r="R258" s="157"/>
      <c r="S258" s="161"/>
      <c r="T258" s="1">
        <v>0</v>
      </c>
      <c r="U258" s="1">
        <f>145-145+100+449.4+12.6+23.8-373.9</f>
        <v>211.89999999999998</v>
      </c>
      <c r="V258" s="1">
        <f>145-115</f>
        <v>30</v>
      </c>
      <c r="W258" s="1">
        <v>0</v>
      </c>
      <c r="X258" s="1">
        <v>0</v>
      </c>
      <c r="Y258" s="1">
        <v>0</v>
      </c>
      <c r="Z258" s="1">
        <v>0</v>
      </c>
      <c r="AA258" s="53">
        <f>SUM(T258:Z258)</f>
        <v>241.89999999999998</v>
      </c>
      <c r="AB258" s="52">
        <v>2020</v>
      </c>
      <c r="AC258" s="90"/>
    </row>
    <row r="259" spans="1:30" s="65" customFormat="1" ht="72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67" t="s">
        <v>255</v>
      </c>
      <c r="S259" s="55" t="s">
        <v>50</v>
      </c>
      <c r="T259" s="40">
        <v>0</v>
      </c>
      <c r="U259" s="3">
        <v>11.9</v>
      </c>
      <c r="V259" s="3">
        <f>4-4</f>
        <v>0</v>
      </c>
      <c r="W259" s="3">
        <v>0</v>
      </c>
      <c r="X259" s="3">
        <v>1.9</v>
      </c>
      <c r="Y259" s="3">
        <v>0</v>
      </c>
      <c r="Z259" s="3">
        <v>0</v>
      </c>
      <c r="AA259" s="6">
        <f>SUM(T259:Z259)</f>
        <v>13.8</v>
      </c>
      <c r="AB259" s="37">
        <v>2022</v>
      </c>
      <c r="AC259" s="90"/>
    </row>
    <row r="260" spans="1:30" s="65" customFormat="1" ht="47.25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69" t="s">
        <v>256</v>
      </c>
      <c r="S260" s="55" t="s">
        <v>37</v>
      </c>
      <c r="T260" s="40">
        <v>0</v>
      </c>
      <c r="U260" s="40">
        <v>3</v>
      </c>
      <c r="V260" s="40">
        <f>3-3</f>
        <v>0</v>
      </c>
      <c r="W260" s="40">
        <v>0</v>
      </c>
      <c r="X260" s="40">
        <v>1</v>
      </c>
      <c r="Y260" s="40">
        <v>0</v>
      </c>
      <c r="Z260" s="40">
        <v>0</v>
      </c>
      <c r="AA260" s="43">
        <f>SUM(T260:Z260)</f>
        <v>4</v>
      </c>
      <c r="AB260" s="37">
        <v>2022</v>
      </c>
      <c r="AC260" s="90"/>
      <c r="AD260" s="70"/>
    </row>
    <row r="261" spans="1:30" s="120" customFormat="1" ht="53.2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144" t="s">
        <v>262</v>
      </c>
      <c r="S261" s="46" t="s">
        <v>37</v>
      </c>
      <c r="T261" s="40">
        <v>0</v>
      </c>
      <c r="U261" s="40">
        <v>3</v>
      </c>
      <c r="V261" s="40">
        <v>1</v>
      </c>
      <c r="W261" s="40">
        <v>0</v>
      </c>
      <c r="X261" s="40">
        <v>1</v>
      </c>
      <c r="Y261" s="40">
        <v>0</v>
      </c>
      <c r="Z261" s="40">
        <v>0</v>
      </c>
      <c r="AA261" s="43">
        <f>SUM(T261:Z261)</f>
        <v>5</v>
      </c>
      <c r="AB261" s="37">
        <v>2022</v>
      </c>
      <c r="AC261" s="98"/>
      <c r="AD261" s="119"/>
    </row>
    <row r="262" spans="1:30" s="65" customFormat="1" x14ac:dyDescent="0.25">
      <c r="A262" s="48" t="s">
        <v>18</v>
      </c>
      <c r="B262" s="48" t="s">
        <v>18</v>
      </c>
      <c r="C262" s="48" t="s">
        <v>25</v>
      </c>
      <c r="D262" s="48" t="s">
        <v>18</v>
      </c>
      <c r="E262" s="48" t="s">
        <v>24</v>
      </c>
      <c r="F262" s="48" t="s">
        <v>18</v>
      </c>
      <c r="G262" s="48" t="s">
        <v>42</v>
      </c>
      <c r="H262" s="48" t="s">
        <v>19</v>
      </c>
      <c r="I262" s="48" t="s">
        <v>24</v>
      </c>
      <c r="J262" s="48" t="s">
        <v>18</v>
      </c>
      <c r="K262" s="48" t="s">
        <v>18</v>
      </c>
      <c r="L262" s="48" t="s">
        <v>20</v>
      </c>
      <c r="M262" s="48" t="s">
        <v>18</v>
      </c>
      <c r="N262" s="48" t="s">
        <v>18</v>
      </c>
      <c r="O262" s="48" t="s">
        <v>18</v>
      </c>
      <c r="P262" s="48" t="s">
        <v>18</v>
      </c>
      <c r="Q262" s="48" t="s">
        <v>18</v>
      </c>
      <c r="R262" s="157" t="s">
        <v>123</v>
      </c>
      <c r="S262" s="159" t="s">
        <v>0</v>
      </c>
      <c r="T262" s="53">
        <f>T264+T266</f>
        <v>0</v>
      </c>
      <c r="U262" s="53">
        <f>SUM(U263:U266)</f>
        <v>10158.9</v>
      </c>
      <c r="V262" s="53">
        <f t="shared" ref="V262:X262" si="85">SUM(V263:V266)</f>
        <v>491</v>
      </c>
      <c r="W262" s="53">
        <f t="shared" si="85"/>
        <v>0</v>
      </c>
      <c r="X262" s="53">
        <f t="shared" si="85"/>
        <v>4885.0999999999995</v>
      </c>
      <c r="Y262" s="53">
        <f t="shared" ref="Y262:Z262" si="86">SUM(Y263:Y266)</f>
        <v>0</v>
      </c>
      <c r="Z262" s="53">
        <f t="shared" si="86"/>
        <v>0</v>
      </c>
      <c r="AA262" s="53">
        <f t="shared" ref="AA262:AA266" si="87">SUM(T262:Z262)</f>
        <v>15535</v>
      </c>
      <c r="AB262" s="52">
        <v>2022</v>
      </c>
      <c r="AC262" s="90"/>
    </row>
    <row r="263" spans="1:30" s="65" customFormat="1" x14ac:dyDescent="0.25">
      <c r="A263" s="48" t="s">
        <v>18</v>
      </c>
      <c r="B263" s="48" t="s">
        <v>18</v>
      </c>
      <c r="C263" s="48" t="s">
        <v>25</v>
      </c>
      <c r="D263" s="48" t="s">
        <v>18</v>
      </c>
      <c r="E263" s="48" t="s">
        <v>24</v>
      </c>
      <c r="F263" s="48" t="s">
        <v>18</v>
      </c>
      <c r="G263" s="48" t="s">
        <v>42</v>
      </c>
      <c r="H263" s="48" t="s">
        <v>19</v>
      </c>
      <c r="I263" s="48" t="s">
        <v>24</v>
      </c>
      <c r="J263" s="48" t="s">
        <v>18</v>
      </c>
      <c r="K263" s="48" t="s">
        <v>18</v>
      </c>
      <c r="L263" s="48" t="s">
        <v>20</v>
      </c>
      <c r="M263" s="48" t="s">
        <v>19</v>
      </c>
      <c r="N263" s="48" t="s">
        <v>18</v>
      </c>
      <c r="O263" s="48" t="s">
        <v>161</v>
      </c>
      <c r="P263" s="48" t="s">
        <v>21</v>
      </c>
      <c r="Q263" s="48" t="s">
        <v>25</v>
      </c>
      <c r="R263" s="157"/>
      <c r="S263" s="160"/>
      <c r="T263" s="1">
        <v>0</v>
      </c>
      <c r="U263" s="1">
        <f>9600-1604.2</f>
        <v>7995.8</v>
      </c>
      <c r="V263" s="1">
        <v>0</v>
      </c>
      <c r="W263" s="1">
        <v>0</v>
      </c>
      <c r="X263" s="1">
        <v>3184.8</v>
      </c>
      <c r="Y263" s="1">
        <v>0</v>
      </c>
      <c r="Z263" s="1">
        <v>0</v>
      </c>
      <c r="AA263" s="53">
        <f t="shared" si="87"/>
        <v>11180.6</v>
      </c>
      <c r="AB263" s="52">
        <v>2022</v>
      </c>
      <c r="AC263" s="90"/>
    </row>
    <row r="264" spans="1:30" s="65" customFormat="1" x14ac:dyDescent="0.25">
      <c r="A264" s="48" t="s">
        <v>18</v>
      </c>
      <c r="B264" s="48" t="s">
        <v>18</v>
      </c>
      <c r="C264" s="48" t="s">
        <v>25</v>
      </c>
      <c r="D264" s="48" t="s">
        <v>18</v>
      </c>
      <c r="E264" s="48" t="s">
        <v>24</v>
      </c>
      <c r="F264" s="48" t="s">
        <v>18</v>
      </c>
      <c r="G264" s="48" t="s">
        <v>42</v>
      </c>
      <c r="H264" s="48" t="s">
        <v>19</v>
      </c>
      <c r="I264" s="48" t="s">
        <v>24</v>
      </c>
      <c r="J264" s="48" t="s">
        <v>18</v>
      </c>
      <c r="K264" s="48" t="s">
        <v>18</v>
      </c>
      <c r="L264" s="48" t="s">
        <v>20</v>
      </c>
      <c r="M264" s="48" t="s">
        <v>36</v>
      </c>
      <c r="N264" s="48" t="s">
        <v>18</v>
      </c>
      <c r="O264" s="48" t="s">
        <v>161</v>
      </c>
      <c r="P264" s="48" t="s">
        <v>21</v>
      </c>
      <c r="Q264" s="48" t="s">
        <v>25</v>
      </c>
      <c r="R264" s="157"/>
      <c r="S264" s="160"/>
      <c r="T264" s="1">
        <v>0</v>
      </c>
      <c r="U264" s="1">
        <f>2401-402-43.9</f>
        <v>1955.1</v>
      </c>
      <c r="V264" s="1">
        <f>798.8-798.8</f>
        <v>0</v>
      </c>
      <c r="W264" s="1">
        <f>1500-1500</f>
        <v>0</v>
      </c>
      <c r="X264" s="1">
        <v>796.2</v>
      </c>
      <c r="Y264" s="1">
        <f>1500-1500</f>
        <v>0</v>
      </c>
      <c r="Z264" s="1">
        <f>1500-1500</f>
        <v>0</v>
      </c>
      <c r="AA264" s="53">
        <f t="shared" si="87"/>
        <v>2751.3</v>
      </c>
      <c r="AB264" s="52">
        <v>2022</v>
      </c>
      <c r="AC264" s="90"/>
    </row>
    <row r="265" spans="1:30" s="65" customFormat="1" x14ac:dyDescent="0.25">
      <c r="A265" s="48" t="s">
        <v>18</v>
      </c>
      <c r="B265" s="48" t="s">
        <v>18</v>
      </c>
      <c r="C265" s="48" t="s">
        <v>25</v>
      </c>
      <c r="D265" s="48" t="s">
        <v>18</v>
      </c>
      <c r="E265" s="48" t="s">
        <v>24</v>
      </c>
      <c r="F265" s="48" t="s">
        <v>18</v>
      </c>
      <c r="G265" s="48" t="s">
        <v>42</v>
      </c>
      <c r="H265" s="48" t="s">
        <v>19</v>
      </c>
      <c r="I265" s="48" t="s">
        <v>24</v>
      </c>
      <c r="J265" s="48" t="s">
        <v>18</v>
      </c>
      <c r="K265" s="48" t="s">
        <v>18</v>
      </c>
      <c r="L265" s="48" t="s">
        <v>20</v>
      </c>
      <c r="M265" s="48" t="s">
        <v>18</v>
      </c>
      <c r="N265" s="48" t="s">
        <v>18</v>
      </c>
      <c r="O265" s="48" t="s">
        <v>161</v>
      </c>
      <c r="P265" s="48" t="s">
        <v>21</v>
      </c>
      <c r="Q265" s="48" t="s">
        <v>25</v>
      </c>
      <c r="R265" s="157"/>
      <c r="S265" s="160"/>
      <c r="T265" s="1">
        <v>0</v>
      </c>
      <c r="U265" s="1">
        <v>0</v>
      </c>
      <c r="V265" s="1">
        <v>0</v>
      </c>
      <c r="W265" s="1">
        <v>0</v>
      </c>
      <c r="X265" s="1">
        <f>105.8-51.1</f>
        <v>54.699999999999996</v>
      </c>
      <c r="Y265" s="1">
        <v>0</v>
      </c>
      <c r="Z265" s="1">
        <v>0</v>
      </c>
      <c r="AA265" s="53">
        <f t="shared" si="87"/>
        <v>54.699999999999996</v>
      </c>
      <c r="AB265" s="52">
        <v>2022</v>
      </c>
      <c r="AC265" s="90"/>
    </row>
    <row r="266" spans="1:30" s="65" customFormat="1" x14ac:dyDescent="0.25">
      <c r="A266" s="48" t="s">
        <v>18</v>
      </c>
      <c r="B266" s="48" t="s">
        <v>18</v>
      </c>
      <c r="C266" s="48" t="s">
        <v>25</v>
      </c>
      <c r="D266" s="48" t="s">
        <v>18</v>
      </c>
      <c r="E266" s="48" t="s">
        <v>24</v>
      </c>
      <c r="F266" s="48" t="s">
        <v>18</v>
      </c>
      <c r="G266" s="48" t="s">
        <v>42</v>
      </c>
      <c r="H266" s="48" t="s">
        <v>19</v>
      </c>
      <c r="I266" s="48" t="s">
        <v>24</v>
      </c>
      <c r="J266" s="48" t="s">
        <v>18</v>
      </c>
      <c r="K266" s="48" t="s">
        <v>18</v>
      </c>
      <c r="L266" s="48" t="s">
        <v>20</v>
      </c>
      <c r="M266" s="48" t="s">
        <v>42</v>
      </c>
      <c r="N266" s="48" t="s">
        <v>42</v>
      </c>
      <c r="O266" s="48" t="s">
        <v>42</v>
      </c>
      <c r="P266" s="48" t="s">
        <v>42</v>
      </c>
      <c r="Q266" s="48" t="s">
        <v>42</v>
      </c>
      <c r="R266" s="157"/>
      <c r="S266" s="161"/>
      <c r="T266" s="1">
        <v>0</v>
      </c>
      <c r="U266" s="1">
        <f>356.9+402-550.9</f>
        <v>208</v>
      </c>
      <c r="V266" s="1">
        <f>701.2-88.6-121.6</f>
        <v>491</v>
      </c>
      <c r="W266" s="1">
        <v>0</v>
      </c>
      <c r="X266" s="1">
        <f>0+849.4</f>
        <v>849.4</v>
      </c>
      <c r="Y266" s="1">
        <v>0</v>
      </c>
      <c r="Z266" s="1">
        <v>0</v>
      </c>
      <c r="AA266" s="53">
        <f t="shared" si="87"/>
        <v>1548.4</v>
      </c>
      <c r="AB266" s="52">
        <v>2020</v>
      </c>
      <c r="AC266" s="90"/>
    </row>
    <row r="267" spans="1:30" s="65" customFormat="1" ht="63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67" t="s">
        <v>257</v>
      </c>
      <c r="S267" s="55" t="s">
        <v>50</v>
      </c>
      <c r="T267" s="3">
        <v>0</v>
      </c>
      <c r="U267" s="3">
        <v>4.0999999999999996</v>
      </c>
      <c r="V267" s="3">
        <f>1.3-1.3</f>
        <v>0</v>
      </c>
      <c r="W267" s="3">
        <v>0</v>
      </c>
      <c r="X267" s="3">
        <v>1</v>
      </c>
      <c r="Y267" s="3">
        <v>0</v>
      </c>
      <c r="Z267" s="3">
        <v>0</v>
      </c>
      <c r="AA267" s="6">
        <f>SUM(T267:Z267)</f>
        <v>5.0999999999999996</v>
      </c>
      <c r="AB267" s="37">
        <v>2022</v>
      </c>
      <c r="AC267" s="90"/>
    </row>
    <row r="268" spans="1:30" s="65" customFormat="1" ht="50.2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69" t="s">
        <v>258</v>
      </c>
      <c r="S268" s="55" t="s">
        <v>37</v>
      </c>
      <c r="T268" s="40">
        <v>0</v>
      </c>
      <c r="U268" s="40">
        <v>5</v>
      </c>
      <c r="V268" s="40">
        <f>1-1</f>
        <v>0</v>
      </c>
      <c r="W268" s="40">
        <v>0</v>
      </c>
      <c r="X268" s="40">
        <v>1</v>
      </c>
      <c r="Y268" s="40">
        <v>0</v>
      </c>
      <c r="Z268" s="40">
        <v>0</v>
      </c>
      <c r="AA268" s="43">
        <f t="shared" ref="AA268:AA269" si="88">SUM(T268:Z268)</f>
        <v>6</v>
      </c>
      <c r="AB268" s="37">
        <v>2022</v>
      </c>
      <c r="AC268" s="90"/>
      <c r="AD268" s="70"/>
    </row>
    <row r="269" spans="1:30" s="120" customFormat="1" ht="65.2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67" t="s">
        <v>304</v>
      </c>
      <c r="S269" s="46" t="s">
        <v>37</v>
      </c>
      <c r="T269" s="40">
        <v>0</v>
      </c>
      <c r="U269" s="40">
        <v>5</v>
      </c>
      <c r="V269" s="40">
        <v>8</v>
      </c>
      <c r="W269" s="40">
        <v>0</v>
      </c>
      <c r="X269" s="40">
        <v>1</v>
      </c>
      <c r="Y269" s="40">
        <v>0</v>
      </c>
      <c r="Z269" s="40">
        <v>0</v>
      </c>
      <c r="AA269" s="43">
        <f t="shared" si="88"/>
        <v>14</v>
      </c>
      <c r="AB269" s="37">
        <v>2022</v>
      </c>
      <c r="AC269" s="98"/>
      <c r="AD269" s="119"/>
    </row>
    <row r="270" spans="1:30" s="65" customFormat="1" x14ac:dyDescent="0.25">
      <c r="A270" s="48" t="s">
        <v>18</v>
      </c>
      <c r="B270" s="48" t="s">
        <v>19</v>
      </c>
      <c r="C270" s="48" t="s">
        <v>20</v>
      </c>
      <c r="D270" s="48" t="s">
        <v>18</v>
      </c>
      <c r="E270" s="48" t="s">
        <v>24</v>
      </c>
      <c r="F270" s="48" t="s">
        <v>18</v>
      </c>
      <c r="G270" s="48" t="s">
        <v>42</v>
      </c>
      <c r="H270" s="48" t="s">
        <v>19</v>
      </c>
      <c r="I270" s="48" t="s">
        <v>24</v>
      </c>
      <c r="J270" s="48" t="s">
        <v>18</v>
      </c>
      <c r="K270" s="48" t="s">
        <v>18</v>
      </c>
      <c r="L270" s="48" t="s">
        <v>20</v>
      </c>
      <c r="M270" s="48" t="s">
        <v>18</v>
      </c>
      <c r="N270" s="48" t="s">
        <v>18</v>
      </c>
      <c r="O270" s="48" t="s">
        <v>18</v>
      </c>
      <c r="P270" s="48" t="s">
        <v>18</v>
      </c>
      <c r="Q270" s="48" t="s">
        <v>18</v>
      </c>
      <c r="R270" s="157" t="s">
        <v>123</v>
      </c>
      <c r="S270" s="159" t="s">
        <v>0</v>
      </c>
      <c r="T270" s="53">
        <f t="shared" ref="T270:Z270" si="89">SUM(T271:T273)</f>
        <v>123487.5</v>
      </c>
      <c r="U270" s="53">
        <f t="shared" si="89"/>
        <v>579.5</v>
      </c>
      <c r="V270" s="53">
        <f t="shared" si="89"/>
        <v>0</v>
      </c>
      <c r="W270" s="53">
        <f t="shared" si="89"/>
        <v>0</v>
      </c>
      <c r="X270" s="53">
        <f t="shared" si="89"/>
        <v>0</v>
      </c>
      <c r="Y270" s="53">
        <f t="shared" si="89"/>
        <v>0</v>
      </c>
      <c r="Z270" s="53">
        <f t="shared" si="89"/>
        <v>0</v>
      </c>
      <c r="AA270" s="53">
        <f t="shared" ref="AA270:AA275" si="90">SUM(T270:Z270)</f>
        <v>124067</v>
      </c>
      <c r="AB270" s="52">
        <v>2019</v>
      </c>
      <c r="AC270" s="107"/>
    </row>
    <row r="271" spans="1:30" s="65" customFormat="1" x14ac:dyDescent="0.25">
      <c r="A271" s="48" t="s">
        <v>18</v>
      </c>
      <c r="B271" s="48" t="s">
        <v>19</v>
      </c>
      <c r="C271" s="48" t="s">
        <v>20</v>
      </c>
      <c r="D271" s="48" t="s">
        <v>18</v>
      </c>
      <c r="E271" s="48" t="s">
        <v>24</v>
      </c>
      <c r="F271" s="48" t="s">
        <v>18</v>
      </c>
      <c r="G271" s="48" t="s">
        <v>42</v>
      </c>
      <c r="H271" s="48" t="s">
        <v>19</v>
      </c>
      <c r="I271" s="48" t="s">
        <v>24</v>
      </c>
      <c r="J271" s="48" t="s">
        <v>18</v>
      </c>
      <c r="K271" s="48" t="s">
        <v>18</v>
      </c>
      <c r="L271" s="48" t="s">
        <v>20</v>
      </c>
      <c r="M271" s="48" t="s">
        <v>19</v>
      </c>
      <c r="N271" s="48" t="s">
        <v>18</v>
      </c>
      <c r="O271" s="48" t="s">
        <v>161</v>
      </c>
      <c r="P271" s="48" t="s">
        <v>21</v>
      </c>
      <c r="Q271" s="48" t="s">
        <v>25</v>
      </c>
      <c r="R271" s="157"/>
      <c r="S271" s="160"/>
      <c r="T271" s="1">
        <v>78128.899999999994</v>
      </c>
      <c r="U271" s="1">
        <f>57600.3-57600.3</f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3">
        <f t="shared" si="90"/>
        <v>78128.899999999994</v>
      </c>
      <c r="AB271" s="52">
        <v>2018</v>
      </c>
      <c r="AC271" s="31"/>
    </row>
    <row r="272" spans="1:30" s="65" customFormat="1" x14ac:dyDescent="0.25">
      <c r="A272" s="48" t="s">
        <v>18</v>
      </c>
      <c r="B272" s="48" t="s">
        <v>19</v>
      </c>
      <c r="C272" s="48" t="s">
        <v>20</v>
      </c>
      <c r="D272" s="48" t="s">
        <v>18</v>
      </c>
      <c r="E272" s="48" t="s">
        <v>24</v>
      </c>
      <c r="F272" s="48" t="s">
        <v>18</v>
      </c>
      <c r="G272" s="48" t="s">
        <v>42</v>
      </c>
      <c r="H272" s="48" t="s">
        <v>19</v>
      </c>
      <c r="I272" s="48" t="s">
        <v>24</v>
      </c>
      <c r="J272" s="48" t="s">
        <v>18</v>
      </c>
      <c r="K272" s="48" t="s">
        <v>18</v>
      </c>
      <c r="L272" s="48" t="s">
        <v>20</v>
      </c>
      <c r="M272" s="48" t="s">
        <v>36</v>
      </c>
      <c r="N272" s="48" t="s">
        <v>18</v>
      </c>
      <c r="O272" s="48" t="s">
        <v>161</v>
      </c>
      <c r="P272" s="48" t="s">
        <v>21</v>
      </c>
      <c r="Q272" s="48" t="s">
        <v>25</v>
      </c>
      <c r="R272" s="157"/>
      <c r="S272" s="160"/>
      <c r="T272" s="1">
        <f>18932.6+19997.4+4074.8+2495.5-26-605.7-796.8</f>
        <v>44071.8</v>
      </c>
      <c r="U272" s="1">
        <f>0+14400.7-14400.7</f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53">
        <f t="shared" si="90"/>
        <v>44071.8</v>
      </c>
      <c r="AB272" s="52">
        <v>2018</v>
      </c>
      <c r="AC272" s="31"/>
    </row>
    <row r="273" spans="1:31" s="65" customFormat="1" x14ac:dyDescent="0.25">
      <c r="A273" s="48" t="s">
        <v>18</v>
      </c>
      <c r="B273" s="48" t="s">
        <v>19</v>
      </c>
      <c r="C273" s="48" t="s">
        <v>20</v>
      </c>
      <c r="D273" s="48" t="s">
        <v>18</v>
      </c>
      <c r="E273" s="48" t="s">
        <v>24</v>
      </c>
      <c r="F273" s="48" t="s">
        <v>18</v>
      </c>
      <c r="G273" s="48" t="s">
        <v>42</v>
      </c>
      <c r="H273" s="48" t="s">
        <v>19</v>
      </c>
      <c r="I273" s="48" t="s">
        <v>24</v>
      </c>
      <c r="J273" s="48" t="s">
        <v>18</v>
      </c>
      <c r="K273" s="48" t="s">
        <v>18</v>
      </c>
      <c r="L273" s="48" t="s">
        <v>20</v>
      </c>
      <c r="M273" s="48" t="s">
        <v>42</v>
      </c>
      <c r="N273" s="48" t="s">
        <v>42</v>
      </c>
      <c r="O273" s="48" t="s">
        <v>42</v>
      </c>
      <c r="P273" s="48" t="s">
        <v>42</v>
      </c>
      <c r="Q273" s="48" t="s">
        <v>42</v>
      </c>
      <c r="R273" s="157"/>
      <c r="S273" s="161"/>
      <c r="T273" s="1">
        <f>2076.9+439-203.1-904.8-121.2</f>
        <v>1286.8000000000002</v>
      </c>
      <c r="U273" s="1">
        <v>579.5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53">
        <f t="shared" si="90"/>
        <v>1866.3000000000002</v>
      </c>
      <c r="AB273" s="52">
        <v>2019</v>
      </c>
      <c r="AC273" s="31"/>
    </row>
    <row r="274" spans="1:31" s="120" customFormat="1" ht="68.2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67" t="s">
        <v>259</v>
      </c>
      <c r="S274" s="46" t="s">
        <v>50</v>
      </c>
      <c r="T274" s="3">
        <v>58.6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6">
        <f t="shared" si="90"/>
        <v>58.6</v>
      </c>
      <c r="AB274" s="37">
        <v>2018</v>
      </c>
      <c r="AC274" s="98"/>
    </row>
    <row r="275" spans="1:31" s="120" customFormat="1" ht="39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67" t="s">
        <v>260</v>
      </c>
      <c r="S275" s="46" t="s">
        <v>37</v>
      </c>
      <c r="T275" s="40">
        <v>28</v>
      </c>
      <c r="U275" s="40">
        <v>0</v>
      </c>
      <c r="V275" s="40">
        <v>0</v>
      </c>
      <c r="W275" s="40">
        <v>0</v>
      </c>
      <c r="X275" s="40">
        <v>0</v>
      </c>
      <c r="Y275" s="40">
        <v>0</v>
      </c>
      <c r="Z275" s="40">
        <v>0</v>
      </c>
      <c r="AA275" s="43">
        <f t="shared" si="90"/>
        <v>28</v>
      </c>
      <c r="AB275" s="37">
        <v>2018</v>
      </c>
      <c r="AC275" s="98"/>
      <c r="AD275" s="119"/>
    </row>
    <row r="276" spans="1:31" s="65" customFormat="1" ht="33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66" t="s">
        <v>167</v>
      </c>
      <c r="S276" s="49" t="s">
        <v>47</v>
      </c>
      <c r="T276" s="50">
        <v>1</v>
      </c>
      <c r="U276" s="50">
        <v>1</v>
      </c>
      <c r="V276" s="50">
        <v>1</v>
      </c>
      <c r="W276" s="50">
        <v>1</v>
      </c>
      <c r="X276" s="50">
        <v>1</v>
      </c>
      <c r="Y276" s="50">
        <v>1</v>
      </c>
      <c r="Z276" s="50">
        <v>1</v>
      </c>
      <c r="AA276" s="51">
        <v>1</v>
      </c>
      <c r="AB276" s="52">
        <v>2024</v>
      </c>
      <c r="AC276" s="31"/>
    </row>
    <row r="277" spans="1:31" ht="31.5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67" t="s">
        <v>124</v>
      </c>
      <c r="S277" s="37" t="s">
        <v>48</v>
      </c>
      <c r="T277" s="40">
        <f>25+19+31+16</f>
        <v>91</v>
      </c>
      <c r="U277" s="40">
        <f>6+15+31+5</f>
        <v>57</v>
      </c>
      <c r="V277" s="40">
        <f>50+19+31+70-60-49</f>
        <v>61</v>
      </c>
      <c r="W277" s="40">
        <f>2+15+31+30</f>
        <v>78</v>
      </c>
      <c r="X277" s="40">
        <f t="shared" ref="X277:Y277" si="91">50+19+31+70-60-49</f>
        <v>61</v>
      </c>
      <c r="Y277" s="40">
        <f t="shared" si="91"/>
        <v>61</v>
      </c>
      <c r="Z277" s="40">
        <v>59</v>
      </c>
      <c r="AA277" s="43">
        <f>SUM(T277:Z277)</f>
        <v>468</v>
      </c>
      <c r="AB277" s="37">
        <v>2024</v>
      </c>
      <c r="AC277" s="115"/>
      <c r="AD277" s="88"/>
      <c r="AE277" s="88"/>
    </row>
    <row r="278" spans="1:31" ht="39.75" customHeight="1" x14ac:dyDescent="0.25">
      <c r="A278" s="48"/>
      <c r="B278" s="48"/>
      <c r="C278" s="48"/>
      <c r="D278" s="48"/>
      <c r="E278" s="48"/>
      <c r="F278" s="48"/>
      <c r="G278" s="48"/>
      <c r="H278" s="48" t="s">
        <v>19</v>
      </c>
      <c r="I278" s="48" t="s">
        <v>24</v>
      </c>
      <c r="J278" s="48" t="s">
        <v>18</v>
      </c>
      <c r="K278" s="48" t="s">
        <v>18</v>
      </c>
      <c r="L278" s="48" t="s">
        <v>20</v>
      </c>
      <c r="M278" s="48" t="s">
        <v>18</v>
      </c>
      <c r="N278" s="48" t="s">
        <v>18</v>
      </c>
      <c r="O278" s="48" t="s">
        <v>18</v>
      </c>
      <c r="P278" s="48" t="s">
        <v>18</v>
      </c>
      <c r="Q278" s="48" t="s">
        <v>18</v>
      </c>
      <c r="R278" s="66" t="s">
        <v>125</v>
      </c>
      <c r="S278" s="52" t="s">
        <v>0</v>
      </c>
      <c r="T278" s="53">
        <f t="shared" ref="T278:Y278" si="92">T281+T328+T466+T371+T479</f>
        <v>22266.699999999997</v>
      </c>
      <c r="U278" s="53">
        <f t="shared" si="92"/>
        <v>22466.400000000001</v>
      </c>
      <c r="V278" s="53">
        <f t="shared" si="92"/>
        <v>7085.3</v>
      </c>
      <c r="W278" s="53">
        <f t="shared" si="92"/>
        <v>17341.099999999999</v>
      </c>
      <c r="X278" s="53">
        <f t="shared" si="92"/>
        <v>10595.699999999999</v>
      </c>
      <c r="Y278" s="53">
        <f t="shared" si="92"/>
        <v>17924.5</v>
      </c>
      <c r="Z278" s="53">
        <f t="shared" ref="Z278" si="93">Z281+Z328+Z466+Z371+Z479</f>
        <v>42577.5</v>
      </c>
      <c r="AA278" s="53">
        <f>SUM(T278:Z278)</f>
        <v>140257.20000000001</v>
      </c>
      <c r="AB278" s="52">
        <v>2024</v>
      </c>
      <c r="AC278" s="34"/>
      <c r="AD278" s="88"/>
      <c r="AE278" s="88"/>
    </row>
    <row r="279" spans="1:31" ht="31.5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69" t="s">
        <v>171</v>
      </c>
      <c r="S279" s="55" t="s">
        <v>50</v>
      </c>
      <c r="T279" s="3">
        <f>T338+T383+T476</f>
        <v>4.4000000000000004</v>
      </c>
      <c r="U279" s="3">
        <f>U338+U383+U476+U291</f>
        <v>4</v>
      </c>
      <c r="V279" s="3">
        <f>V338+V383+V476+V291</f>
        <v>1.7000000000000002</v>
      </c>
      <c r="W279" s="3">
        <f>W338+W383+W476+W291</f>
        <v>4.6000000000000005</v>
      </c>
      <c r="X279" s="3">
        <f>X338+X383+X476+X291</f>
        <v>2.7</v>
      </c>
      <c r="Y279" s="3">
        <f>Y338+Y383+Y476+Y291+Y480</f>
        <v>4.5999999999999996</v>
      </c>
      <c r="Z279" s="3">
        <f>Z338+Z383+Z476+Z291+Z480</f>
        <v>12.4</v>
      </c>
      <c r="AA279" s="6">
        <f>SUM(T279:Z279)</f>
        <v>34.4</v>
      </c>
      <c r="AB279" s="37">
        <v>2024</v>
      </c>
      <c r="AC279" s="9"/>
      <c r="AD279" s="88"/>
      <c r="AE279" s="88"/>
    </row>
    <row r="280" spans="1:31" ht="31.5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69" t="s">
        <v>168</v>
      </c>
      <c r="S280" s="37" t="s">
        <v>48</v>
      </c>
      <c r="T280" s="40">
        <f t="shared" ref="T280:W280" si="94">T292+T339+T384+T478</f>
        <v>30</v>
      </c>
      <c r="U280" s="40">
        <f t="shared" si="94"/>
        <v>22</v>
      </c>
      <c r="V280" s="40">
        <f t="shared" si="94"/>
        <v>7</v>
      </c>
      <c r="W280" s="40">
        <f t="shared" si="94"/>
        <v>15</v>
      </c>
      <c r="X280" s="40">
        <f>X292+X339+X384+X478</f>
        <v>6</v>
      </c>
      <c r="Y280" s="40">
        <f>Y292+Y339+Y384+Y478+Y481</f>
        <v>8</v>
      </c>
      <c r="Z280" s="40">
        <f>Z292+Z339+Z384+Z478+Z481</f>
        <v>13</v>
      </c>
      <c r="AA280" s="43">
        <f>SUM(T280:Z280)</f>
        <v>101</v>
      </c>
      <c r="AB280" s="37">
        <v>2024</v>
      </c>
      <c r="AC280" s="9"/>
      <c r="AD280" s="88"/>
      <c r="AE280" s="88"/>
    </row>
    <row r="281" spans="1:31" ht="21.75" customHeight="1" x14ac:dyDescent="0.25">
      <c r="A281" s="48" t="s">
        <v>18</v>
      </c>
      <c r="B281" s="48" t="s">
        <v>18</v>
      </c>
      <c r="C281" s="48" t="s">
        <v>22</v>
      </c>
      <c r="D281" s="48" t="s">
        <v>18</v>
      </c>
      <c r="E281" s="48" t="s">
        <v>18</v>
      </c>
      <c r="F281" s="48" t="s">
        <v>18</v>
      </c>
      <c r="G281" s="48" t="s">
        <v>18</v>
      </c>
      <c r="H281" s="48" t="s">
        <v>19</v>
      </c>
      <c r="I281" s="48" t="s">
        <v>24</v>
      </c>
      <c r="J281" s="48" t="s">
        <v>18</v>
      </c>
      <c r="K281" s="48" t="s">
        <v>18</v>
      </c>
      <c r="L281" s="48" t="s">
        <v>20</v>
      </c>
      <c r="M281" s="48" t="s">
        <v>18</v>
      </c>
      <c r="N281" s="48" t="s">
        <v>18</v>
      </c>
      <c r="O281" s="48" t="s">
        <v>18</v>
      </c>
      <c r="P281" s="48" t="s">
        <v>18</v>
      </c>
      <c r="Q281" s="48" t="s">
        <v>18</v>
      </c>
      <c r="R281" s="163" t="s">
        <v>125</v>
      </c>
      <c r="S281" s="166" t="s">
        <v>0</v>
      </c>
      <c r="T281" s="53">
        <f t="shared" ref="T281:V281" si="95">SUM(T282:T286)</f>
        <v>2922.6</v>
      </c>
      <c r="U281" s="53">
        <f t="shared" si="95"/>
        <v>6574.9</v>
      </c>
      <c r="V281" s="53">
        <f t="shared" si="95"/>
        <v>3964.5</v>
      </c>
      <c r="W281" s="53">
        <f>SUM(W282:W289)</f>
        <v>1826.6</v>
      </c>
      <c r="X281" s="53">
        <f>SUM(X282:X289)</f>
        <v>5603</v>
      </c>
      <c r="Y281" s="53">
        <f t="shared" ref="Y281:Z281" si="96">SUM(Y282:Y289)</f>
        <v>395</v>
      </c>
      <c r="Z281" s="53">
        <f t="shared" si="96"/>
        <v>10338</v>
      </c>
      <c r="AA281" s="53">
        <f>SUM(T281:Z281)</f>
        <v>31624.6</v>
      </c>
      <c r="AB281" s="52">
        <v>2023</v>
      </c>
      <c r="AC281" s="111"/>
      <c r="AD281" s="88"/>
      <c r="AE281" s="88"/>
    </row>
    <row r="282" spans="1:31" x14ac:dyDescent="0.25">
      <c r="A282" s="48" t="s">
        <v>18</v>
      </c>
      <c r="B282" s="48" t="s">
        <v>18</v>
      </c>
      <c r="C282" s="48" t="s">
        <v>22</v>
      </c>
      <c r="D282" s="48" t="s">
        <v>18</v>
      </c>
      <c r="E282" s="48" t="s">
        <v>18</v>
      </c>
      <c r="F282" s="48" t="s">
        <v>18</v>
      </c>
      <c r="G282" s="48" t="s">
        <v>18</v>
      </c>
      <c r="H282" s="48" t="s">
        <v>19</v>
      </c>
      <c r="I282" s="48" t="s">
        <v>24</v>
      </c>
      <c r="J282" s="48" t="s">
        <v>18</v>
      </c>
      <c r="K282" s="48" t="s">
        <v>18</v>
      </c>
      <c r="L282" s="48" t="s">
        <v>20</v>
      </c>
      <c r="M282" s="48" t="s">
        <v>19</v>
      </c>
      <c r="N282" s="48" t="s">
        <v>18</v>
      </c>
      <c r="O282" s="48" t="s">
        <v>24</v>
      </c>
      <c r="P282" s="48" t="s">
        <v>22</v>
      </c>
      <c r="Q282" s="48" t="s">
        <v>43</v>
      </c>
      <c r="R282" s="164"/>
      <c r="S282" s="167"/>
      <c r="T282" s="1">
        <f>T294+T299+T304+T310+T316+T323</f>
        <v>1229.5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3">
        <f t="shared" ref="AA282:AA288" si="97">SUM(T282:Z282)</f>
        <v>1229.5</v>
      </c>
      <c r="AB282" s="52">
        <v>2018</v>
      </c>
      <c r="AC282" s="111"/>
      <c r="AD282" s="88"/>
      <c r="AE282" s="88"/>
    </row>
    <row r="283" spans="1:31" x14ac:dyDescent="0.25">
      <c r="A283" s="48" t="s">
        <v>18</v>
      </c>
      <c r="B283" s="48" t="s">
        <v>18</v>
      </c>
      <c r="C283" s="48" t="s">
        <v>22</v>
      </c>
      <c r="D283" s="48" t="s">
        <v>18</v>
      </c>
      <c r="E283" s="48" t="s">
        <v>18</v>
      </c>
      <c r="F283" s="48" t="s">
        <v>18</v>
      </c>
      <c r="G283" s="48" t="s">
        <v>18</v>
      </c>
      <c r="H283" s="48" t="s">
        <v>19</v>
      </c>
      <c r="I283" s="48" t="s">
        <v>24</v>
      </c>
      <c r="J283" s="48" t="s">
        <v>18</v>
      </c>
      <c r="K283" s="48" t="s">
        <v>18</v>
      </c>
      <c r="L283" s="48" t="s">
        <v>20</v>
      </c>
      <c r="M283" s="48" t="s">
        <v>36</v>
      </c>
      <c r="N283" s="48" t="s">
        <v>18</v>
      </c>
      <c r="O283" s="48" t="s">
        <v>24</v>
      </c>
      <c r="P283" s="48" t="s">
        <v>22</v>
      </c>
      <c r="Q283" s="48" t="s">
        <v>38</v>
      </c>
      <c r="R283" s="164"/>
      <c r="S283" s="167"/>
      <c r="T283" s="1">
        <v>1046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3">
        <f t="shared" si="97"/>
        <v>1046</v>
      </c>
      <c r="AB283" s="52">
        <v>2018</v>
      </c>
      <c r="AC283" s="111"/>
      <c r="AD283" s="88"/>
      <c r="AE283" s="88"/>
    </row>
    <row r="284" spans="1:31" x14ac:dyDescent="0.25">
      <c r="A284" s="48" t="s">
        <v>18</v>
      </c>
      <c r="B284" s="48" t="s">
        <v>18</v>
      </c>
      <c r="C284" s="48" t="s">
        <v>22</v>
      </c>
      <c r="D284" s="48" t="s">
        <v>18</v>
      </c>
      <c r="E284" s="48" t="s">
        <v>18</v>
      </c>
      <c r="F284" s="48" t="s">
        <v>18</v>
      </c>
      <c r="G284" s="48" t="s">
        <v>18</v>
      </c>
      <c r="H284" s="48" t="s">
        <v>19</v>
      </c>
      <c r="I284" s="48" t="s">
        <v>24</v>
      </c>
      <c r="J284" s="48" t="s">
        <v>18</v>
      </c>
      <c r="K284" s="48" t="s">
        <v>18</v>
      </c>
      <c r="L284" s="48" t="s">
        <v>20</v>
      </c>
      <c r="M284" s="48" t="s">
        <v>36</v>
      </c>
      <c r="N284" s="48" t="s">
        <v>18</v>
      </c>
      <c r="O284" s="48" t="s">
        <v>24</v>
      </c>
      <c r="P284" s="48" t="s">
        <v>22</v>
      </c>
      <c r="Q284" s="48" t="s">
        <v>44</v>
      </c>
      <c r="R284" s="164"/>
      <c r="S284" s="167"/>
      <c r="T284" s="1">
        <v>647.1</v>
      </c>
      <c r="U284" s="1">
        <v>1329.9</v>
      </c>
      <c r="V284" s="1">
        <v>949.3</v>
      </c>
      <c r="W284" s="1">
        <v>0</v>
      </c>
      <c r="X284" s="1">
        <v>0</v>
      </c>
      <c r="Y284" s="1">
        <v>0</v>
      </c>
      <c r="Z284" s="1">
        <v>0</v>
      </c>
      <c r="AA284" s="53">
        <f t="shared" si="97"/>
        <v>2926.3</v>
      </c>
      <c r="AB284" s="52">
        <v>2020</v>
      </c>
      <c r="AC284" s="111"/>
      <c r="AD284" s="88"/>
      <c r="AE284" s="88"/>
    </row>
    <row r="285" spans="1:31" x14ac:dyDescent="0.25">
      <c r="A285" s="48" t="s">
        <v>18</v>
      </c>
      <c r="B285" s="48" t="s">
        <v>18</v>
      </c>
      <c r="C285" s="48" t="s">
        <v>22</v>
      </c>
      <c r="D285" s="48" t="s">
        <v>18</v>
      </c>
      <c r="E285" s="48" t="s">
        <v>18</v>
      </c>
      <c r="F285" s="48" t="s">
        <v>18</v>
      </c>
      <c r="G285" s="48" t="s">
        <v>18</v>
      </c>
      <c r="H285" s="48" t="s">
        <v>19</v>
      </c>
      <c r="I285" s="48" t="s">
        <v>24</v>
      </c>
      <c r="J285" s="48" t="s">
        <v>18</v>
      </c>
      <c r="K285" s="48" t="s">
        <v>18</v>
      </c>
      <c r="L285" s="48" t="s">
        <v>20</v>
      </c>
      <c r="M285" s="48" t="s">
        <v>19</v>
      </c>
      <c r="N285" s="48" t="s">
        <v>18</v>
      </c>
      <c r="O285" s="48" t="s">
        <v>24</v>
      </c>
      <c r="P285" s="48" t="s">
        <v>22</v>
      </c>
      <c r="Q285" s="48" t="s">
        <v>18</v>
      </c>
      <c r="R285" s="164"/>
      <c r="S285" s="167"/>
      <c r="T285" s="1">
        <v>0</v>
      </c>
      <c r="U285" s="1">
        <f>2901-2.9</f>
        <v>2898.1</v>
      </c>
      <c r="V285" s="1">
        <f>1721.3-1721.3</f>
        <v>0</v>
      </c>
      <c r="W285" s="1">
        <v>0</v>
      </c>
      <c r="X285" s="1">
        <v>0</v>
      </c>
      <c r="Y285" s="1">
        <v>0</v>
      </c>
      <c r="Z285" s="1">
        <v>0</v>
      </c>
      <c r="AA285" s="53">
        <f t="shared" si="97"/>
        <v>2898.1</v>
      </c>
      <c r="AB285" s="52">
        <v>2019</v>
      </c>
      <c r="AC285" s="111"/>
      <c r="AD285" s="88"/>
      <c r="AE285" s="88"/>
    </row>
    <row r="286" spans="1:31" x14ac:dyDescent="0.25">
      <c r="A286" s="48" t="s">
        <v>18</v>
      </c>
      <c r="B286" s="48" t="s">
        <v>18</v>
      </c>
      <c r="C286" s="48" t="s">
        <v>22</v>
      </c>
      <c r="D286" s="48" t="s">
        <v>18</v>
      </c>
      <c r="E286" s="48" t="s">
        <v>18</v>
      </c>
      <c r="F286" s="48" t="s">
        <v>18</v>
      </c>
      <c r="G286" s="48" t="s">
        <v>18</v>
      </c>
      <c r="H286" s="48" t="s">
        <v>19</v>
      </c>
      <c r="I286" s="48" t="s">
        <v>24</v>
      </c>
      <c r="J286" s="48" t="s">
        <v>18</v>
      </c>
      <c r="K286" s="48" t="s">
        <v>18</v>
      </c>
      <c r="L286" s="48" t="s">
        <v>20</v>
      </c>
      <c r="M286" s="48" t="s">
        <v>36</v>
      </c>
      <c r="N286" s="48" t="s">
        <v>18</v>
      </c>
      <c r="O286" s="48" t="s">
        <v>24</v>
      </c>
      <c r="P286" s="48" t="s">
        <v>22</v>
      </c>
      <c r="Q286" s="48" t="s">
        <v>18</v>
      </c>
      <c r="R286" s="164"/>
      <c r="S286" s="167"/>
      <c r="T286" s="1">
        <v>0</v>
      </c>
      <c r="U286" s="1">
        <f>2375.1-28.2</f>
        <v>2346.9</v>
      </c>
      <c r="V286" s="1">
        <f>1518.9+1643.8-147.5</f>
        <v>3015.2</v>
      </c>
      <c r="W286" s="1">
        <v>0</v>
      </c>
      <c r="X286" s="1">
        <v>0</v>
      </c>
      <c r="Y286" s="1">
        <v>0</v>
      </c>
      <c r="Z286" s="1">
        <v>0</v>
      </c>
      <c r="AA286" s="53">
        <f t="shared" si="97"/>
        <v>5362.1</v>
      </c>
      <c r="AB286" s="52">
        <v>2020</v>
      </c>
      <c r="AC286" s="111"/>
      <c r="AD286" s="88"/>
      <c r="AE286" s="88"/>
    </row>
    <row r="287" spans="1:31" x14ac:dyDescent="0.25">
      <c r="A287" s="48" t="s">
        <v>18</v>
      </c>
      <c r="B287" s="48" t="s">
        <v>18</v>
      </c>
      <c r="C287" s="48" t="s">
        <v>22</v>
      </c>
      <c r="D287" s="48" t="s">
        <v>18</v>
      </c>
      <c r="E287" s="48" t="s">
        <v>18</v>
      </c>
      <c r="F287" s="48" t="s">
        <v>18</v>
      </c>
      <c r="G287" s="48" t="s">
        <v>18</v>
      </c>
      <c r="H287" s="48" t="s">
        <v>19</v>
      </c>
      <c r="I287" s="48" t="s">
        <v>24</v>
      </c>
      <c r="J287" s="48" t="s">
        <v>18</v>
      </c>
      <c r="K287" s="48" t="s">
        <v>18</v>
      </c>
      <c r="L287" s="48" t="s">
        <v>20</v>
      </c>
      <c r="M287" s="48" t="s">
        <v>36</v>
      </c>
      <c r="N287" s="48" t="s">
        <v>42</v>
      </c>
      <c r="O287" s="48" t="s">
        <v>18</v>
      </c>
      <c r="P287" s="48" t="s">
        <v>18</v>
      </c>
      <c r="Q287" s="48" t="s">
        <v>18</v>
      </c>
      <c r="R287" s="164"/>
      <c r="S287" s="167"/>
      <c r="T287" s="1">
        <v>0</v>
      </c>
      <c r="U287" s="1">
        <v>0</v>
      </c>
      <c r="V287" s="1">
        <v>0</v>
      </c>
      <c r="W287" s="1">
        <f>600-33</f>
        <v>567</v>
      </c>
      <c r="X287" s="1">
        <f>1357.3+316-31.9</f>
        <v>1641.3999999999999</v>
      </c>
      <c r="Y287" s="1">
        <v>38.5</v>
      </c>
      <c r="Z287" s="1">
        <v>1969.5</v>
      </c>
      <c r="AA287" s="53">
        <f t="shared" si="97"/>
        <v>4216.3999999999996</v>
      </c>
      <c r="AB287" s="52">
        <v>2024</v>
      </c>
      <c r="AC287" s="111"/>
      <c r="AD287" s="88"/>
      <c r="AE287" s="88"/>
    </row>
    <row r="288" spans="1:31" x14ac:dyDescent="0.25">
      <c r="A288" s="48" t="s">
        <v>18</v>
      </c>
      <c r="B288" s="48" t="s">
        <v>18</v>
      </c>
      <c r="C288" s="48" t="s">
        <v>22</v>
      </c>
      <c r="D288" s="48" t="s">
        <v>18</v>
      </c>
      <c r="E288" s="48" t="s">
        <v>18</v>
      </c>
      <c r="F288" s="48" t="s">
        <v>18</v>
      </c>
      <c r="G288" s="48" t="s">
        <v>18</v>
      </c>
      <c r="H288" s="48" t="s">
        <v>19</v>
      </c>
      <c r="I288" s="48" t="s">
        <v>24</v>
      </c>
      <c r="J288" s="48" t="s">
        <v>18</v>
      </c>
      <c r="K288" s="48" t="s">
        <v>18</v>
      </c>
      <c r="L288" s="48" t="s">
        <v>20</v>
      </c>
      <c r="M288" s="48" t="s">
        <v>19</v>
      </c>
      <c r="N288" s="48" t="s">
        <v>42</v>
      </c>
      <c r="O288" s="48" t="s">
        <v>18</v>
      </c>
      <c r="P288" s="48" t="s">
        <v>18</v>
      </c>
      <c r="Q288" s="48" t="s">
        <v>18</v>
      </c>
      <c r="R288" s="164"/>
      <c r="S288" s="167"/>
      <c r="T288" s="1">
        <v>0</v>
      </c>
      <c r="U288" s="1">
        <v>0</v>
      </c>
      <c r="V288" s="1">
        <v>0</v>
      </c>
      <c r="W288" s="1">
        <v>600</v>
      </c>
      <c r="X288" s="1">
        <v>2659.4</v>
      </c>
      <c r="Y288" s="1">
        <f>335.8-77.4</f>
        <v>258.39999999999998</v>
      </c>
      <c r="Z288" s="1">
        <v>6326.5</v>
      </c>
      <c r="AA288" s="53">
        <f t="shared" si="97"/>
        <v>9844.2999999999993</v>
      </c>
      <c r="AB288" s="52">
        <v>2024</v>
      </c>
      <c r="AC288" s="111"/>
      <c r="AD288" s="88"/>
      <c r="AE288" s="88"/>
    </row>
    <row r="289" spans="1:31" x14ac:dyDescent="0.25">
      <c r="A289" s="48" t="s">
        <v>18</v>
      </c>
      <c r="B289" s="48" t="s">
        <v>18</v>
      </c>
      <c r="C289" s="48" t="s">
        <v>22</v>
      </c>
      <c r="D289" s="48" t="s">
        <v>18</v>
      </c>
      <c r="E289" s="48" t="s">
        <v>18</v>
      </c>
      <c r="F289" s="48" t="s">
        <v>18</v>
      </c>
      <c r="G289" s="48" t="s">
        <v>18</v>
      </c>
      <c r="H289" s="48" t="s">
        <v>19</v>
      </c>
      <c r="I289" s="48" t="s">
        <v>24</v>
      </c>
      <c r="J289" s="48" t="s">
        <v>18</v>
      </c>
      <c r="K289" s="48" t="s">
        <v>18</v>
      </c>
      <c r="L289" s="48" t="s">
        <v>20</v>
      </c>
      <c r="M289" s="48" t="s">
        <v>36</v>
      </c>
      <c r="N289" s="48" t="s">
        <v>42</v>
      </c>
      <c r="O289" s="48" t="s">
        <v>44</v>
      </c>
      <c r="P289" s="48" t="s">
        <v>18</v>
      </c>
      <c r="Q289" s="48" t="s">
        <v>18</v>
      </c>
      <c r="R289" s="165"/>
      <c r="S289" s="168"/>
      <c r="T289" s="1">
        <v>0</v>
      </c>
      <c r="U289" s="1">
        <v>0</v>
      </c>
      <c r="V289" s="1">
        <v>0</v>
      </c>
      <c r="W289" s="1">
        <v>659.6</v>
      </c>
      <c r="X289" s="1">
        <v>1302.2</v>
      </c>
      <c r="Y289" s="1">
        <v>98.1</v>
      </c>
      <c r="Z289" s="1">
        <v>2042</v>
      </c>
      <c r="AA289" s="53">
        <f>SUM(T289:Z289)</f>
        <v>4101.8999999999996</v>
      </c>
      <c r="AB289" s="52">
        <v>2024</v>
      </c>
      <c r="AC289" s="111"/>
      <c r="AD289" s="88"/>
      <c r="AE289" s="88"/>
    </row>
    <row r="290" spans="1:31" ht="33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144" t="s">
        <v>225</v>
      </c>
      <c r="S290" s="55" t="s">
        <v>50</v>
      </c>
      <c r="T290" s="3">
        <v>8.8000000000000007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6">
        <f>SUM(T290:Z290)</f>
        <v>8.8000000000000007</v>
      </c>
      <c r="AB290" s="37">
        <v>2018</v>
      </c>
      <c r="AC290" s="115"/>
      <c r="AD290" s="88"/>
      <c r="AE290" s="88"/>
    </row>
    <row r="291" spans="1:31" ht="31.5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67" t="s">
        <v>359</v>
      </c>
      <c r="S291" s="55" t="s">
        <v>50</v>
      </c>
      <c r="T291" s="3">
        <v>0</v>
      </c>
      <c r="U291" s="3">
        <v>1</v>
      </c>
      <c r="V291" s="3">
        <v>1.1000000000000001</v>
      </c>
      <c r="W291" s="3">
        <v>0.9</v>
      </c>
      <c r="X291" s="3">
        <v>1.1000000000000001</v>
      </c>
      <c r="Y291" s="3">
        <v>0</v>
      </c>
      <c r="Z291" s="3">
        <v>2.4</v>
      </c>
      <c r="AA291" s="6">
        <f t="shared" ref="AA291" si="98">SUM(T291:Z291)</f>
        <v>6.5</v>
      </c>
      <c r="AB291" s="37">
        <v>2024</v>
      </c>
      <c r="AC291" s="115"/>
      <c r="AD291" s="88"/>
      <c r="AE291" s="88"/>
    </row>
    <row r="292" spans="1:31" ht="31.5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67" t="s">
        <v>268</v>
      </c>
      <c r="S292" s="73" t="s">
        <v>48</v>
      </c>
      <c r="T292" s="40">
        <v>3</v>
      </c>
      <c r="U292" s="40">
        <v>6</v>
      </c>
      <c r="V292" s="40">
        <v>4</v>
      </c>
      <c r="W292" s="40">
        <v>1</v>
      </c>
      <c r="X292" s="40">
        <v>2</v>
      </c>
      <c r="Y292" s="40">
        <v>1</v>
      </c>
      <c r="Z292" s="40">
        <v>3</v>
      </c>
      <c r="AA292" s="43">
        <f>SUM(T292:Z292)</f>
        <v>20</v>
      </c>
      <c r="AB292" s="37">
        <v>2024</v>
      </c>
      <c r="AC292" s="115"/>
      <c r="AD292" s="88"/>
      <c r="AE292" s="88"/>
    </row>
    <row r="293" spans="1:31" ht="15.6" hidden="1" customHeight="1" x14ac:dyDescent="0.25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157" t="s">
        <v>172</v>
      </c>
      <c r="S293" s="56" t="s">
        <v>0</v>
      </c>
      <c r="T293" s="1">
        <f>SUM(T294:T296)</f>
        <v>998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3">
        <f t="shared" ref="AA293:AA397" si="99">SUM(T293:Y293)</f>
        <v>998</v>
      </c>
      <c r="AB293" s="52">
        <v>2018</v>
      </c>
      <c r="AC293" s="76"/>
      <c r="AD293" s="88" t="e">
        <f>T294+T299+T304+T310+T316+T323+T341+T347+T352+T357+T362+T367+T386+T392+T399+T406+T413+T420+T427+T434+T441+T448+T454+T460+#REF!+#REF!+#REF!+#REF!+#REF!+#REF!+#REF!+#REF!+#REF!+#REF!+#REF!</f>
        <v>#REF!</v>
      </c>
      <c r="AE293" s="88"/>
    </row>
    <row r="294" spans="1:31" ht="15.6" hidden="1" customHeight="1" x14ac:dyDescent="0.25">
      <c r="A294" s="48" t="s">
        <v>18</v>
      </c>
      <c r="B294" s="48" t="s">
        <v>18</v>
      </c>
      <c r="C294" s="48" t="s">
        <v>22</v>
      </c>
      <c r="D294" s="48" t="s">
        <v>18</v>
      </c>
      <c r="E294" s="48" t="s">
        <v>21</v>
      </c>
      <c r="F294" s="48" t="s">
        <v>18</v>
      </c>
      <c r="G294" s="48" t="s">
        <v>22</v>
      </c>
      <c r="H294" s="48" t="s">
        <v>19</v>
      </c>
      <c r="I294" s="48" t="s">
        <v>24</v>
      </c>
      <c r="J294" s="48" t="s">
        <v>18</v>
      </c>
      <c r="K294" s="48" t="s">
        <v>18</v>
      </c>
      <c r="L294" s="48" t="s">
        <v>20</v>
      </c>
      <c r="M294" s="48" t="s">
        <v>19</v>
      </c>
      <c r="N294" s="48" t="s">
        <v>18</v>
      </c>
      <c r="O294" s="48" t="s">
        <v>24</v>
      </c>
      <c r="P294" s="48" t="s">
        <v>22</v>
      </c>
      <c r="Q294" s="48" t="s">
        <v>43</v>
      </c>
      <c r="R294" s="157"/>
      <c r="S294" s="56" t="s">
        <v>0</v>
      </c>
      <c r="T294" s="1">
        <v>399.2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3">
        <f t="shared" si="99"/>
        <v>399.2</v>
      </c>
      <c r="AB294" s="52">
        <v>2018</v>
      </c>
      <c r="AC294" s="9"/>
      <c r="AD294" s="88" t="e">
        <f>T295+T300+T305+T306+T311+T312+T317+T318+T324+T325+T343+T348+T353+T358+T363+T368+T388+T387+T395+T394+T402+T401+T409+T408+T416+T415+T423+T422+T430+T429+T436+T437+T443+T450+T456+T462+T463+#REF!+#REF!+#REF!+#REF!+#REF!+#REF!+#REF!+#REF!+#REF!+#REF!+#REF!+#REF!+#REF!+#REF!+#REF!+#REF!+#REF!+#REF!+#REF!+#REF!+#REF!+T444</f>
        <v>#REF!</v>
      </c>
      <c r="AE294" s="88"/>
    </row>
    <row r="295" spans="1:31" ht="15.6" hidden="1" customHeight="1" x14ac:dyDescent="0.25">
      <c r="A295" s="48" t="s">
        <v>18</v>
      </c>
      <c r="B295" s="48" t="s">
        <v>18</v>
      </c>
      <c r="C295" s="48" t="s">
        <v>22</v>
      </c>
      <c r="D295" s="48" t="s">
        <v>18</v>
      </c>
      <c r="E295" s="48" t="s">
        <v>21</v>
      </c>
      <c r="F295" s="48" t="s">
        <v>18</v>
      </c>
      <c r="G295" s="48" t="s">
        <v>22</v>
      </c>
      <c r="H295" s="48" t="s">
        <v>19</v>
      </c>
      <c r="I295" s="48" t="s">
        <v>24</v>
      </c>
      <c r="J295" s="48" t="s">
        <v>18</v>
      </c>
      <c r="K295" s="48" t="s">
        <v>18</v>
      </c>
      <c r="L295" s="48" t="s">
        <v>20</v>
      </c>
      <c r="M295" s="48" t="s">
        <v>36</v>
      </c>
      <c r="N295" s="48" t="s">
        <v>18</v>
      </c>
      <c r="O295" s="48" t="s">
        <v>24</v>
      </c>
      <c r="P295" s="48" t="s">
        <v>22</v>
      </c>
      <c r="Q295" s="48" t="s">
        <v>44</v>
      </c>
      <c r="R295" s="157"/>
      <c r="S295" s="56" t="s">
        <v>0</v>
      </c>
      <c r="T295" s="1">
        <v>199.6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53">
        <f t="shared" si="99"/>
        <v>199.6</v>
      </c>
      <c r="AB295" s="52">
        <v>2018</v>
      </c>
      <c r="AC295" s="9"/>
      <c r="AD295" s="88" t="e">
        <f>T296+T301+T307+T313+T319+T326+T344+T349+T354+T359+T364+T369+T389+T396+T403+T410+T417+T424+T431+T438+T445+T451+T457+T464+#REF!+#REF!+#REF!+#REF!+#REF!+#REF!+#REF!+#REF!+#REF!+#REF!+#REF!</f>
        <v>#REF!</v>
      </c>
      <c r="AE295" s="88"/>
    </row>
    <row r="296" spans="1:31" ht="15.6" hidden="1" customHeight="1" x14ac:dyDescent="0.25">
      <c r="A296" s="48" t="s">
        <v>18</v>
      </c>
      <c r="B296" s="48" t="s">
        <v>18</v>
      </c>
      <c r="C296" s="48" t="s">
        <v>22</v>
      </c>
      <c r="D296" s="48" t="s">
        <v>18</v>
      </c>
      <c r="E296" s="48" t="s">
        <v>21</v>
      </c>
      <c r="F296" s="48" t="s">
        <v>18</v>
      </c>
      <c r="G296" s="48" t="s">
        <v>22</v>
      </c>
      <c r="H296" s="48" t="s">
        <v>19</v>
      </c>
      <c r="I296" s="48" t="s">
        <v>24</v>
      </c>
      <c r="J296" s="48" t="s">
        <v>18</v>
      </c>
      <c r="K296" s="48" t="s">
        <v>18</v>
      </c>
      <c r="L296" s="48" t="s">
        <v>20</v>
      </c>
      <c r="M296" s="48" t="s">
        <v>36</v>
      </c>
      <c r="N296" s="48" t="s">
        <v>18</v>
      </c>
      <c r="O296" s="48" t="s">
        <v>24</v>
      </c>
      <c r="P296" s="48" t="s">
        <v>22</v>
      </c>
      <c r="Q296" s="48" t="s">
        <v>38</v>
      </c>
      <c r="R296" s="157"/>
      <c r="S296" s="56" t="s">
        <v>0</v>
      </c>
      <c r="T296" s="1">
        <v>399.2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3">
        <f t="shared" si="99"/>
        <v>399.2</v>
      </c>
      <c r="AB296" s="52">
        <v>2018</v>
      </c>
      <c r="AC296" s="9"/>
      <c r="AD296" s="88">
        <f>T342+T393+T400+T407+T414+T421+T428+T435+T442+T449+T455+T461</f>
        <v>380</v>
      </c>
      <c r="AE296" s="88"/>
    </row>
    <row r="297" spans="1:31" ht="31.15" hidden="1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69" t="s">
        <v>173</v>
      </c>
      <c r="S297" s="73" t="s">
        <v>159</v>
      </c>
      <c r="T297" s="3">
        <v>8750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6">
        <f t="shared" si="99"/>
        <v>8750</v>
      </c>
      <c r="AB297" s="37">
        <v>2018</v>
      </c>
      <c r="AC297" s="9"/>
      <c r="AD297" s="88" t="e">
        <f>SUM(AD293:AD296)</f>
        <v>#REF!</v>
      </c>
      <c r="AE297" s="88"/>
    </row>
    <row r="298" spans="1:31" ht="15.6" hidden="1" customHeight="1" x14ac:dyDescent="0.25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157" t="s">
        <v>174</v>
      </c>
      <c r="S298" s="56" t="s">
        <v>0</v>
      </c>
      <c r="T298" s="1">
        <f>SUM(T299:T301)</f>
        <v>150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3">
        <f t="shared" si="99"/>
        <v>150</v>
      </c>
      <c r="AB298" s="52">
        <v>2018</v>
      </c>
      <c r="AC298" s="9"/>
      <c r="AD298" s="88"/>
      <c r="AE298" s="88"/>
    </row>
    <row r="299" spans="1:31" ht="15.6" hidden="1" customHeight="1" x14ac:dyDescent="0.25">
      <c r="A299" s="48" t="s">
        <v>18</v>
      </c>
      <c r="B299" s="48" t="s">
        <v>18</v>
      </c>
      <c r="C299" s="48" t="s">
        <v>22</v>
      </c>
      <c r="D299" s="48" t="s">
        <v>18</v>
      </c>
      <c r="E299" s="48" t="s">
        <v>21</v>
      </c>
      <c r="F299" s="48" t="s">
        <v>18</v>
      </c>
      <c r="G299" s="48" t="s">
        <v>22</v>
      </c>
      <c r="H299" s="48" t="s">
        <v>19</v>
      </c>
      <c r="I299" s="48" t="s">
        <v>24</v>
      </c>
      <c r="J299" s="48" t="s">
        <v>18</v>
      </c>
      <c r="K299" s="48" t="s">
        <v>18</v>
      </c>
      <c r="L299" s="48" t="s">
        <v>20</v>
      </c>
      <c r="M299" s="48" t="s">
        <v>19</v>
      </c>
      <c r="N299" s="48" t="s">
        <v>18</v>
      </c>
      <c r="O299" s="48" t="s">
        <v>24</v>
      </c>
      <c r="P299" s="48" t="s">
        <v>22</v>
      </c>
      <c r="Q299" s="48" t="s">
        <v>43</v>
      </c>
      <c r="R299" s="157"/>
      <c r="S299" s="56" t="s">
        <v>0</v>
      </c>
      <c r="T299" s="1">
        <v>60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53">
        <f t="shared" si="99"/>
        <v>60</v>
      </c>
      <c r="AB299" s="52">
        <v>2018</v>
      </c>
      <c r="AC299" s="9"/>
      <c r="AD299" s="88"/>
      <c r="AE299" s="88"/>
    </row>
    <row r="300" spans="1:31" ht="15.6" hidden="1" customHeight="1" x14ac:dyDescent="0.25">
      <c r="A300" s="48" t="s">
        <v>18</v>
      </c>
      <c r="B300" s="48" t="s">
        <v>18</v>
      </c>
      <c r="C300" s="48" t="s">
        <v>22</v>
      </c>
      <c r="D300" s="48" t="s">
        <v>18</v>
      </c>
      <c r="E300" s="48" t="s">
        <v>21</v>
      </c>
      <c r="F300" s="48" t="s">
        <v>18</v>
      </c>
      <c r="G300" s="48" t="s">
        <v>22</v>
      </c>
      <c r="H300" s="48" t="s">
        <v>19</v>
      </c>
      <c r="I300" s="48" t="s">
        <v>24</v>
      </c>
      <c r="J300" s="48" t="s">
        <v>18</v>
      </c>
      <c r="K300" s="48" t="s">
        <v>18</v>
      </c>
      <c r="L300" s="48" t="s">
        <v>20</v>
      </c>
      <c r="M300" s="48" t="s">
        <v>36</v>
      </c>
      <c r="N300" s="48" t="s">
        <v>18</v>
      </c>
      <c r="O300" s="48" t="s">
        <v>24</v>
      </c>
      <c r="P300" s="48" t="s">
        <v>22</v>
      </c>
      <c r="Q300" s="48" t="s">
        <v>44</v>
      </c>
      <c r="R300" s="157"/>
      <c r="S300" s="56" t="s">
        <v>0</v>
      </c>
      <c r="T300" s="1">
        <v>30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53">
        <f t="shared" si="99"/>
        <v>30</v>
      </c>
      <c r="AB300" s="52">
        <v>2018</v>
      </c>
      <c r="AC300" s="9"/>
      <c r="AD300" s="88"/>
      <c r="AE300" s="88"/>
    </row>
    <row r="301" spans="1:31" ht="15.6" hidden="1" customHeight="1" x14ac:dyDescent="0.25">
      <c r="A301" s="48" t="s">
        <v>18</v>
      </c>
      <c r="B301" s="48" t="s">
        <v>18</v>
      </c>
      <c r="C301" s="48" t="s">
        <v>22</v>
      </c>
      <c r="D301" s="48" t="s">
        <v>18</v>
      </c>
      <c r="E301" s="48" t="s">
        <v>21</v>
      </c>
      <c r="F301" s="48" t="s">
        <v>18</v>
      </c>
      <c r="G301" s="48" t="s">
        <v>22</v>
      </c>
      <c r="H301" s="48" t="s">
        <v>19</v>
      </c>
      <c r="I301" s="48" t="s">
        <v>24</v>
      </c>
      <c r="J301" s="48" t="s">
        <v>18</v>
      </c>
      <c r="K301" s="48" t="s">
        <v>18</v>
      </c>
      <c r="L301" s="48" t="s">
        <v>20</v>
      </c>
      <c r="M301" s="48" t="s">
        <v>36</v>
      </c>
      <c r="N301" s="48" t="s">
        <v>18</v>
      </c>
      <c r="O301" s="48" t="s">
        <v>24</v>
      </c>
      <c r="P301" s="48" t="s">
        <v>22</v>
      </c>
      <c r="Q301" s="48" t="s">
        <v>38</v>
      </c>
      <c r="R301" s="157"/>
      <c r="S301" s="56" t="s">
        <v>0</v>
      </c>
      <c r="T301" s="1">
        <v>60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53">
        <f t="shared" si="99"/>
        <v>60</v>
      </c>
      <c r="AB301" s="52">
        <v>2018</v>
      </c>
      <c r="AC301" s="9"/>
      <c r="AD301" s="88"/>
      <c r="AE301" s="88"/>
    </row>
    <row r="302" spans="1:31" ht="46.9" hidden="1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69" t="s">
        <v>175</v>
      </c>
      <c r="S302" s="73" t="s">
        <v>48</v>
      </c>
      <c r="T302" s="40">
        <v>7</v>
      </c>
      <c r="U302" s="40">
        <v>0</v>
      </c>
      <c r="V302" s="40">
        <v>0</v>
      </c>
      <c r="W302" s="40">
        <v>0</v>
      </c>
      <c r="X302" s="40">
        <v>0</v>
      </c>
      <c r="Y302" s="40">
        <v>0</v>
      </c>
      <c r="Z302" s="40">
        <v>0</v>
      </c>
      <c r="AA302" s="43">
        <f t="shared" si="99"/>
        <v>7</v>
      </c>
      <c r="AB302" s="37">
        <v>2018</v>
      </c>
      <c r="AC302" s="9"/>
      <c r="AD302" s="88"/>
      <c r="AE302" s="88"/>
    </row>
    <row r="303" spans="1:31" ht="15.6" hidden="1" customHeight="1" x14ac:dyDescent="0.25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157" t="s">
        <v>176</v>
      </c>
      <c r="S303" s="56" t="s">
        <v>0</v>
      </c>
      <c r="T303" s="1">
        <f>SUM(T304:T307)</f>
        <v>1031.5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53">
        <f t="shared" si="99"/>
        <v>1031.5</v>
      </c>
      <c r="AB303" s="52">
        <v>2018</v>
      </c>
      <c r="AC303" s="9"/>
      <c r="AD303" s="88"/>
      <c r="AE303" s="88"/>
    </row>
    <row r="304" spans="1:31" ht="15.6" hidden="1" customHeight="1" x14ac:dyDescent="0.25">
      <c r="A304" s="48" t="s">
        <v>18</v>
      </c>
      <c r="B304" s="48" t="s">
        <v>18</v>
      </c>
      <c r="C304" s="48" t="s">
        <v>22</v>
      </c>
      <c r="D304" s="48" t="s">
        <v>18</v>
      </c>
      <c r="E304" s="48" t="s">
        <v>21</v>
      </c>
      <c r="F304" s="48" t="s">
        <v>18</v>
      </c>
      <c r="G304" s="48" t="s">
        <v>22</v>
      </c>
      <c r="H304" s="48" t="s">
        <v>19</v>
      </c>
      <c r="I304" s="48" t="s">
        <v>24</v>
      </c>
      <c r="J304" s="48" t="s">
        <v>18</v>
      </c>
      <c r="K304" s="48" t="s">
        <v>18</v>
      </c>
      <c r="L304" s="48" t="s">
        <v>20</v>
      </c>
      <c r="M304" s="48" t="s">
        <v>19</v>
      </c>
      <c r="N304" s="48" t="s">
        <v>18</v>
      </c>
      <c r="O304" s="48" t="s">
        <v>24</v>
      </c>
      <c r="P304" s="48" t="s">
        <v>22</v>
      </c>
      <c r="Q304" s="48" t="s">
        <v>43</v>
      </c>
      <c r="R304" s="157"/>
      <c r="S304" s="56" t="s">
        <v>0</v>
      </c>
      <c r="T304" s="1">
        <v>400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3">
        <f t="shared" si="99"/>
        <v>400</v>
      </c>
      <c r="AB304" s="52">
        <v>2018</v>
      </c>
      <c r="AC304" s="9"/>
      <c r="AD304" s="88"/>
      <c r="AE304" s="88"/>
    </row>
    <row r="305" spans="1:31" ht="15.6" hidden="1" customHeight="1" x14ac:dyDescent="0.25">
      <c r="A305" s="48" t="s">
        <v>18</v>
      </c>
      <c r="B305" s="48" t="s">
        <v>18</v>
      </c>
      <c r="C305" s="48" t="s">
        <v>22</v>
      </c>
      <c r="D305" s="48" t="s">
        <v>18</v>
      </c>
      <c r="E305" s="48" t="s">
        <v>21</v>
      </c>
      <c r="F305" s="48" t="s">
        <v>18</v>
      </c>
      <c r="G305" s="48" t="s">
        <v>22</v>
      </c>
      <c r="H305" s="48" t="s">
        <v>19</v>
      </c>
      <c r="I305" s="48" t="s">
        <v>24</v>
      </c>
      <c r="J305" s="48" t="s">
        <v>18</v>
      </c>
      <c r="K305" s="48" t="s">
        <v>18</v>
      </c>
      <c r="L305" s="48" t="s">
        <v>20</v>
      </c>
      <c r="M305" s="48" t="s">
        <v>36</v>
      </c>
      <c r="N305" s="48" t="s">
        <v>18</v>
      </c>
      <c r="O305" s="48" t="s">
        <v>24</v>
      </c>
      <c r="P305" s="48" t="s">
        <v>22</v>
      </c>
      <c r="Q305" s="48" t="s">
        <v>44</v>
      </c>
      <c r="R305" s="157"/>
      <c r="S305" s="56" t="s">
        <v>0</v>
      </c>
      <c r="T305" s="1">
        <v>2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53">
        <f t="shared" si="99"/>
        <v>2</v>
      </c>
      <c r="AB305" s="52">
        <v>2018</v>
      </c>
      <c r="AC305" s="9"/>
      <c r="AD305" s="88"/>
      <c r="AE305" s="88"/>
    </row>
    <row r="306" spans="1:31" ht="15.6" hidden="1" customHeight="1" x14ac:dyDescent="0.25">
      <c r="A306" s="48" t="s">
        <v>18</v>
      </c>
      <c r="B306" s="48" t="s">
        <v>18</v>
      </c>
      <c r="C306" s="48" t="s">
        <v>22</v>
      </c>
      <c r="D306" s="48" t="s">
        <v>18</v>
      </c>
      <c r="E306" s="48" t="s">
        <v>21</v>
      </c>
      <c r="F306" s="48" t="s">
        <v>18</v>
      </c>
      <c r="G306" s="48" t="s">
        <v>22</v>
      </c>
      <c r="H306" s="48" t="s">
        <v>19</v>
      </c>
      <c r="I306" s="48" t="s">
        <v>24</v>
      </c>
      <c r="J306" s="48" t="s">
        <v>18</v>
      </c>
      <c r="K306" s="48" t="s">
        <v>18</v>
      </c>
      <c r="L306" s="48" t="s">
        <v>20</v>
      </c>
      <c r="M306" s="48" t="s">
        <v>36</v>
      </c>
      <c r="N306" s="48" t="s">
        <v>18</v>
      </c>
      <c r="O306" s="48" t="s">
        <v>24</v>
      </c>
      <c r="P306" s="48" t="s">
        <v>22</v>
      </c>
      <c r="Q306" s="48" t="s">
        <v>44</v>
      </c>
      <c r="R306" s="157"/>
      <c r="S306" s="56" t="s">
        <v>0</v>
      </c>
      <c r="T306" s="1">
        <v>229.5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3">
        <f t="shared" si="99"/>
        <v>229.5</v>
      </c>
      <c r="AB306" s="52">
        <v>2018</v>
      </c>
      <c r="AC306" s="9"/>
      <c r="AD306" s="88"/>
      <c r="AE306" s="88"/>
    </row>
    <row r="307" spans="1:31" ht="15.6" hidden="1" customHeight="1" x14ac:dyDescent="0.25">
      <c r="A307" s="48" t="s">
        <v>18</v>
      </c>
      <c r="B307" s="48" t="s">
        <v>18</v>
      </c>
      <c r="C307" s="48" t="s">
        <v>22</v>
      </c>
      <c r="D307" s="48" t="s">
        <v>18</v>
      </c>
      <c r="E307" s="48" t="s">
        <v>21</v>
      </c>
      <c r="F307" s="48" t="s">
        <v>18</v>
      </c>
      <c r="G307" s="48" t="s">
        <v>22</v>
      </c>
      <c r="H307" s="48" t="s">
        <v>19</v>
      </c>
      <c r="I307" s="48" t="s">
        <v>24</v>
      </c>
      <c r="J307" s="48" t="s">
        <v>18</v>
      </c>
      <c r="K307" s="48" t="s">
        <v>18</v>
      </c>
      <c r="L307" s="48" t="s">
        <v>20</v>
      </c>
      <c r="M307" s="48" t="s">
        <v>36</v>
      </c>
      <c r="N307" s="48" t="s">
        <v>18</v>
      </c>
      <c r="O307" s="48" t="s">
        <v>24</v>
      </c>
      <c r="P307" s="48" t="s">
        <v>22</v>
      </c>
      <c r="Q307" s="48" t="s">
        <v>38</v>
      </c>
      <c r="R307" s="157"/>
      <c r="S307" s="56" t="s">
        <v>0</v>
      </c>
      <c r="T307" s="1">
        <v>400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3">
        <f t="shared" si="99"/>
        <v>400</v>
      </c>
      <c r="AB307" s="52">
        <v>2018</v>
      </c>
      <c r="AC307" s="9"/>
      <c r="AD307" s="88"/>
      <c r="AE307" s="88"/>
    </row>
    <row r="308" spans="1:31" ht="45.6" hidden="1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69" t="s">
        <v>177</v>
      </c>
      <c r="S308" s="73" t="s">
        <v>48</v>
      </c>
      <c r="T308" s="40">
        <v>44</v>
      </c>
      <c r="U308" s="40">
        <v>0</v>
      </c>
      <c r="V308" s="40">
        <v>0</v>
      </c>
      <c r="W308" s="40">
        <v>0</v>
      </c>
      <c r="X308" s="40">
        <v>0</v>
      </c>
      <c r="Y308" s="40">
        <v>0</v>
      </c>
      <c r="Z308" s="40">
        <v>0</v>
      </c>
      <c r="AA308" s="43">
        <f t="shared" si="99"/>
        <v>44</v>
      </c>
      <c r="AB308" s="37">
        <v>2018</v>
      </c>
      <c r="AC308" s="9"/>
      <c r="AD308" s="88"/>
      <c r="AE308" s="88"/>
    </row>
    <row r="309" spans="1:31" ht="15.6" hidden="1" customHeight="1" x14ac:dyDescent="0.25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157" t="s">
        <v>178</v>
      </c>
      <c r="S309" s="56" t="s">
        <v>0</v>
      </c>
      <c r="T309" s="1">
        <f>SUM(T310:T313)</f>
        <v>613.5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3">
        <f t="shared" si="99"/>
        <v>613.5</v>
      </c>
      <c r="AB309" s="52">
        <v>2018</v>
      </c>
      <c r="AC309" s="9"/>
      <c r="AD309" s="88"/>
      <c r="AE309" s="88"/>
    </row>
    <row r="310" spans="1:31" ht="15.6" hidden="1" customHeight="1" x14ac:dyDescent="0.25">
      <c r="A310" s="48" t="s">
        <v>18</v>
      </c>
      <c r="B310" s="48" t="s">
        <v>18</v>
      </c>
      <c r="C310" s="48" t="s">
        <v>22</v>
      </c>
      <c r="D310" s="48" t="s">
        <v>18</v>
      </c>
      <c r="E310" s="48" t="s">
        <v>21</v>
      </c>
      <c r="F310" s="48" t="s">
        <v>18</v>
      </c>
      <c r="G310" s="48" t="s">
        <v>22</v>
      </c>
      <c r="H310" s="48" t="s">
        <v>19</v>
      </c>
      <c r="I310" s="48" t="s">
        <v>24</v>
      </c>
      <c r="J310" s="48" t="s">
        <v>18</v>
      </c>
      <c r="K310" s="48" t="s">
        <v>18</v>
      </c>
      <c r="L310" s="48" t="s">
        <v>20</v>
      </c>
      <c r="M310" s="48" t="s">
        <v>19</v>
      </c>
      <c r="N310" s="48" t="s">
        <v>18</v>
      </c>
      <c r="O310" s="48" t="s">
        <v>24</v>
      </c>
      <c r="P310" s="48" t="s">
        <v>22</v>
      </c>
      <c r="Q310" s="48" t="s">
        <v>43</v>
      </c>
      <c r="R310" s="157"/>
      <c r="S310" s="56" t="s">
        <v>0</v>
      </c>
      <c r="T310" s="1">
        <v>245.4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53">
        <f t="shared" si="99"/>
        <v>245.4</v>
      </c>
      <c r="AB310" s="52">
        <v>2018</v>
      </c>
      <c r="AC310" s="9"/>
      <c r="AD310" s="88"/>
      <c r="AE310" s="88"/>
    </row>
    <row r="311" spans="1:31" ht="15.6" hidden="1" customHeight="1" x14ac:dyDescent="0.25">
      <c r="A311" s="48" t="s">
        <v>18</v>
      </c>
      <c r="B311" s="48" t="s">
        <v>18</v>
      </c>
      <c r="C311" s="48" t="s">
        <v>22</v>
      </c>
      <c r="D311" s="48" t="s">
        <v>18</v>
      </c>
      <c r="E311" s="48" t="s">
        <v>21</v>
      </c>
      <c r="F311" s="48" t="s">
        <v>18</v>
      </c>
      <c r="G311" s="48" t="s">
        <v>22</v>
      </c>
      <c r="H311" s="48" t="s">
        <v>19</v>
      </c>
      <c r="I311" s="48" t="s">
        <v>24</v>
      </c>
      <c r="J311" s="48" t="s">
        <v>18</v>
      </c>
      <c r="K311" s="48" t="s">
        <v>18</v>
      </c>
      <c r="L311" s="48" t="s">
        <v>20</v>
      </c>
      <c r="M311" s="48" t="s">
        <v>36</v>
      </c>
      <c r="N311" s="48" t="s">
        <v>18</v>
      </c>
      <c r="O311" s="48" t="s">
        <v>24</v>
      </c>
      <c r="P311" s="48" t="s">
        <v>22</v>
      </c>
      <c r="Q311" s="48" t="s">
        <v>44</v>
      </c>
      <c r="R311" s="157"/>
      <c r="S311" s="56" t="s">
        <v>0</v>
      </c>
      <c r="T311" s="1">
        <v>60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3">
        <f t="shared" si="99"/>
        <v>60</v>
      </c>
      <c r="AB311" s="52">
        <v>2018</v>
      </c>
      <c r="AC311" s="9"/>
      <c r="AD311" s="88"/>
      <c r="AE311" s="88"/>
    </row>
    <row r="312" spans="1:31" ht="15.6" hidden="1" customHeight="1" x14ac:dyDescent="0.25">
      <c r="A312" s="48" t="s">
        <v>18</v>
      </c>
      <c r="B312" s="48" t="s">
        <v>18</v>
      </c>
      <c r="C312" s="48" t="s">
        <v>22</v>
      </c>
      <c r="D312" s="48" t="s">
        <v>18</v>
      </c>
      <c r="E312" s="48" t="s">
        <v>21</v>
      </c>
      <c r="F312" s="48" t="s">
        <v>18</v>
      </c>
      <c r="G312" s="48" t="s">
        <v>22</v>
      </c>
      <c r="H312" s="48" t="s">
        <v>19</v>
      </c>
      <c r="I312" s="48" t="s">
        <v>24</v>
      </c>
      <c r="J312" s="48" t="s">
        <v>18</v>
      </c>
      <c r="K312" s="48" t="s">
        <v>18</v>
      </c>
      <c r="L312" s="48" t="s">
        <v>20</v>
      </c>
      <c r="M312" s="48" t="s">
        <v>36</v>
      </c>
      <c r="N312" s="48" t="s">
        <v>18</v>
      </c>
      <c r="O312" s="48" t="s">
        <v>24</v>
      </c>
      <c r="P312" s="48" t="s">
        <v>22</v>
      </c>
      <c r="Q312" s="48" t="s">
        <v>44</v>
      </c>
      <c r="R312" s="157"/>
      <c r="S312" s="56" t="s">
        <v>0</v>
      </c>
      <c r="T312" s="1">
        <v>62.7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3">
        <f t="shared" si="99"/>
        <v>62.7</v>
      </c>
      <c r="AB312" s="52">
        <v>2018</v>
      </c>
      <c r="AC312" s="9"/>
      <c r="AD312" s="88"/>
      <c r="AE312" s="88"/>
    </row>
    <row r="313" spans="1:31" ht="15.6" hidden="1" customHeight="1" x14ac:dyDescent="0.25">
      <c r="A313" s="48" t="s">
        <v>18</v>
      </c>
      <c r="B313" s="48" t="s">
        <v>18</v>
      </c>
      <c r="C313" s="48" t="s">
        <v>22</v>
      </c>
      <c r="D313" s="48" t="s">
        <v>18</v>
      </c>
      <c r="E313" s="48" t="s">
        <v>21</v>
      </c>
      <c r="F313" s="48" t="s">
        <v>18</v>
      </c>
      <c r="G313" s="48" t="s">
        <v>22</v>
      </c>
      <c r="H313" s="48" t="s">
        <v>19</v>
      </c>
      <c r="I313" s="48" t="s">
        <v>24</v>
      </c>
      <c r="J313" s="48" t="s">
        <v>18</v>
      </c>
      <c r="K313" s="48" t="s">
        <v>18</v>
      </c>
      <c r="L313" s="48" t="s">
        <v>20</v>
      </c>
      <c r="M313" s="48" t="s">
        <v>36</v>
      </c>
      <c r="N313" s="48" t="s">
        <v>18</v>
      </c>
      <c r="O313" s="48" t="s">
        <v>24</v>
      </c>
      <c r="P313" s="48" t="s">
        <v>22</v>
      </c>
      <c r="Q313" s="48" t="s">
        <v>38</v>
      </c>
      <c r="R313" s="157"/>
      <c r="S313" s="56" t="s">
        <v>0</v>
      </c>
      <c r="T313" s="1">
        <v>245.4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3">
        <f t="shared" si="99"/>
        <v>245.4</v>
      </c>
      <c r="AB313" s="52">
        <v>2018</v>
      </c>
      <c r="AC313" s="9"/>
      <c r="AD313" s="88"/>
      <c r="AE313" s="88"/>
    </row>
    <row r="314" spans="1:31" ht="46.9" hidden="1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69" t="s">
        <v>179</v>
      </c>
      <c r="S314" s="73" t="s">
        <v>48</v>
      </c>
      <c r="T314" s="40">
        <v>26</v>
      </c>
      <c r="U314" s="40">
        <v>0</v>
      </c>
      <c r="V314" s="40">
        <v>0</v>
      </c>
      <c r="W314" s="40">
        <v>0</v>
      </c>
      <c r="X314" s="40">
        <v>0</v>
      </c>
      <c r="Y314" s="40">
        <v>0</v>
      </c>
      <c r="Z314" s="40">
        <v>0</v>
      </c>
      <c r="AA314" s="43">
        <f t="shared" si="99"/>
        <v>26</v>
      </c>
      <c r="AB314" s="37">
        <v>2018</v>
      </c>
      <c r="AC314" s="9"/>
      <c r="AD314" s="88"/>
      <c r="AE314" s="88"/>
    </row>
    <row r="315" spans="1:31" ht="15.6" hidden="1" customHeight="1" x14ac:dyDescent="0.25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157" t="s">
        <v>180</v>
      </c>
      <c r="S315" s="56" t="s">
        <v>0</v>
      </c>
      <c r="T315" s="1">
        <f>SUM(T316:T319)</f>
        <v>194.7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53">
        <f t="shared" si="99"/>
        <v>194.7</v>
      </c>
      <c r="AB315" s="52">
        <v>2018</v>
      </c>
      <c r="AC315" s="9"/>
      <c r="AD315" s="88"/>
      <c r="AE315" s="88"/>
    </row>
    <row r="316" spans="1:31" ht="15.6" hidden="1" customHeight="1" x14ac:dyDescent="0.25">
      <c r="A316" s="48" t="s">
        <v>18</v>
      </c>
      <c r="B316" s="48" t="s">
        <v>18</v>
      </c>
      <c r="C316" s="48" t="s">
        <v>22</v>
      </c>
      <c r="D316" s="48" t="s">
        <v>18</v>
      </c>
      <c r="E316" s="48" t="s">
        <v>21</v>
      </c>
      <c r="F316" s="48" t="s">
        <v>18</v>
      </c>
      <c r="G316" s="48" t="s">
        <v>22</v>
      </c>
      <c r="H316" s="48" t="s">
        <v>19</v>
      </c>
      <c r="I316" s="48" t="s">
        <v>24</v>
      </c>
      <c r="J316" s="48" t="s">
        <v>18</v>
      </c>
      <c r="K316" s="48" t="s">
        <v>18</v>
      </c>
      <c r="L316" s="48" t="s">
        <v>20</v>
      </c>
      <c r="M316" s="48" t="s">
        <v>19</v>
      </c>
      <c r="N316" s="48" t="s">
        <v>18</v>
      </c>
      <c r="O316" s="48" t="s">
        <v>24</v>
      </c>
      <c r="P316" s="48" t="s">
        <v>22</v>
      </c>
      <c r="Q316" s="48" t="s">
        <v>43</v>
      </c>
      <c r="R316" s="157"/>
      <c r="S316" s="56" t="s">
        <v>0</v>
      </c>
      <c r="T316" s="1">
        <v>77.3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3">
        <f t="shared" si="99"/>
        <v>77.3</v>
      </c>
      <c r="AB316" s="52">
        <v>2018</v>
      </c>
      <c r="AC316" s="9"/>
      <c r="AD316" s="88"/>
      <c r="AE316" s="88"/>
    </row>
    <row r="317" spans="1:31" ht="15.6" hidden="1" customHeight="1" x14ac:dyDescent="0.25">
      <c r="A317" s="48" t="s">
        <v>18</v>
      </c>
      <c r="B317" s="48" t="s">
        <v>18</v>
      </c>
      <c r="C317" s="48" t="s">
        <v>22</v>
      </c>
      <c r="D317" s="48" t="s">
        <v>18</v>
      </c>
      <c r="E317" s="48" t="s">
        <v>21</v>
      </c>
      <c r="F317" s="48" t="s">
        <v>18</v>
      </c>
      <c r="G317" s="48" t="s">
        <v>22</v>
      </c>
      <c r="H317" s="48" t="s">
        <v>19</v>
      </c>
      <c r="I317" s="48" t="s">
        <v>24</v>
      </c>
      <c r="J317" s="48" t="s">
        <v>18</v>
      </c>
      <c r="K317" s="48" t="s">
        <v>18</v>
      </c>
      <c r="L317" s="48" t="s">
        <v>20</v>
      </c>
      <c r="M317" s="48" t="s">
        <v>36</v>
      </c>
      <c r="N317" s="48" t="s">
        <v>18</v>
      </c>
      <c r="O317" s="48" t="s">
        <v>24</v>
      </c>
      <c r="P317" s="48" t="s">
        <v>22</v>
      </c>
      <c r="Q317" s="48" t="s">
        <v>44</v>
      </c>
      <c r="R317" s="157"/>
      <c r="S317" s="56" t="s">
        <v>0</v>
      </c>
      <c r="T317" s="1">
        <v>20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3">
        <f t="shared" si="99"/>
        <v>20</v>
      </c>
      <c r="AB317" s="52">
        <v>2018</v>
      </c>
      <c r="AC317" s="9"/>
      <c r="AD317" s="88"/>
      <c r="AE317" s="88"/>
    </row>
    <row r="318" spans="1:31" ht="15.6" hidden="1" customHeight="1" x14ac:dyDescent="0.25">
      <c r="A318" s="48" t="s">
        <v>18</v>
      </c>
      <c r="B318" s="48" t="s">
        <v>18</v>
      </c>
      <c r="C318" s="48" t="s">
        <v>22</v>
      </c>
      <c r="D318" s="48" t="s">
        <v>18</v>
      </c>
      <c r="E318" s="48" t="s">
        <v>21</v>
      </c>
      <c r="F318" s="48" t="s">
        <v>18</v>
      </c>
      <c r="G318" s="48" t="s">
        <v>22</v>
      </c>
      <c r="H318" s="48" t="s">
        <v>19</v>
      </c>
      <c r="I318" s="48" t="s">
        <v>24</v>
      </c>
      <c r="J318" s="48" t="s">
        <v>18</v>
      </c>
      <c r="K318" s="48" t="s">
        <v>18</v>
      </c>
      <c r="L318" s="48" t="s">
        <v>20</v>
      </c>
      <c r="M318" s="48" t="s">
        <v>36</v>
      </c>
      <c r="N318" s="48" t="s">
        <v>18</v>
      </c>
      <c r="O318" s="48" t="s">
        <v>24</v>
      </c>
      <c r="P318" s="48" t="s">
        <v>22</v>
      </c>
      <c r="Q318" s="48" t="s">
        <v>44</v>
      </c>
      <c r="R318" s="157"/>
      <c r="S318" s="56" t="s">
        <v>0</v>
      </c>
      <c r="T318" s="1">
        <v>19.5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3">
        <f t="shared" si="99"/>
        <v>19.5</v>
      </c>
      <c r="AB318" s="52">
        <v>2018</v>
      </c>
      <c r="AC318" s="9"/>
      <c r="AD318" s="88"/>
      <c r="AE318" s="88"/>
    </row>
    <row r="319" spans="1:31" ht="15.6" hidden="1" customHeight="1" x14ac:dyDescent="0.25">
      <c r="A319" s="48" t="s">
        <v>18</v>
      </c>
      <c r="B319" s="48" t="s">
        <v>18</v>
      </c>
      <c r="C319" s="48" t="s">
        <v>22</v>
      </c>
      <c r="D319" s="48" t="s">
        <v>18</v>
      </c>
      <c r="E319" s="48" t="s">
        <v>21</v>
      </c>
      <c r="F319" s="48" t="s">
        <v>18</v>
      </c>
      <c r="G319" s="48" t="s">
        <v>22</v>
      </c>
      <c r="H319" s="48" t="s">
        <v>19</v>
      </c>
      <c r="I319" s="48" t="s">
        <v>24</v>
      </c>
      <c r="J319" s="48" t="s">
        <v>18</v>
      </c>
      <c r="K319" s="48" t="s">
        <v>18</v>
      </c>
      <c r="L319" s="48" t="s">
        <v>20</v>
      </c>
      <c r="M319" s="48" t="s">
        <v>36</v>
      </c>
      <c r="N319" s="48" t="s">
        <v>18</v>
      </c>
      <c r="O319" s="48" t="s">
        <v>24</v>
      </c>
      <c r="P319" s="48" t="s">
        <v>22</v>
      </c>
      <c r="Q319" s="48" t="s">
        <v>38</v>
      </c>
      <c r="R319" s="157"/>
      <c r="S319" s="56" t="s">
        <v>0</v>
      </c>
      <c r="T319" s="1">
        <v>77.900000000000006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3">
        <f t="shared" si="99"/>
        <v>77.900000000000006</v>
      </c>
      <c r="AB319" s="52">
        <v>2018</v>
      </c>
      <c r="AC319" s="9"/>
      <c r="AD319" s="88"/>
      <c r="AE319" s="88"/>
    </row>
    <row r="320" spans="1:31" s="62" customFormat="1" ht="31.15" hidden="1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69" t="s">
        <v>181</v>
      </c>
      <c r="S320" s="46" t="s">
        <v>48</v>
      </c>
      <c r="T320" s="40">
        <v>1</v>
      </c>
      <c r="U320" s="40">
        <v>0</v>
      </c>
      <c r="V320" s="40">
        <v>0</v>
      </c>
      <c r="W320" s="40">
        <v>0</v>
      </c>
      <c r="X320" s="40">
        <v>0</v>
      </c>
      <c r="Y320" s="40">
        <v>0</v>
      </c>
      <c r="Z320" s="40">
        <v>0</v>
      </c>
      <c r="AA320" s="43">
        <f t="shared" si="99"/>
        <v>1</v>
      </c>
      <c r="AB320" s="37">
        <v>2018</v>
      </c>
      <c r="AC320" s="60"/>
      <c r="AD320" s="74"/>
      <c r="AE320" s="74"/>
    </row>
    <row r="321" spans="1:31" ht="31.15" hidden="1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69" t="s">
        <v>182</v>
      </c>
      <c r="S321" s="73" t="s">
        <v>160</v>
      </c>
      <c r="T321" s="3">
        <v>15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6">
        <f t="shared" si="99"/>
        <v>15</v>
      </c>
      <c r="AB321" s="37">
        <v>2018</v>
      </c>
      <c r="AC321" s="9"/>
      <c r="AD321" s="88"/>
      <c r="AE321" s="88"/>
    </row>
    <row r="322" spans="1:31" ht="15.6" hidden="1" customHeight="1" x14ac:dyDescent="0.25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157" t="s">
        <v>183</v>
      </c>
      <c r="S322" s="56" t="s">
        <v>0</v>
      </c>
      <c r="T322" s="1">
        <f>SUM(T323:T326)</f>
        <v>119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3">
        <f t="shared" si="99"/>
        <v>119</v>
      </c>
      <c r="AB322" s="52">
        <v>2018</v>
      </c>
      <c r="AC322" s="9"/>
      <c r="AD322" s="88"/>
      <c r="AE322" s="88"/>
    </row>
    <row r="323" spans="1:31" ht="15.6" hidden="1" customHeight="1" x14ac:dyDescent="0.25">
      <c r="A323" s="48" t="s">
        <v>18</v>
      </c>
      <c r="B323" s="48" t="s">
        <v>18</v>
      </c>
      <c r="C323" s="48" t="s">
        <v>22</v>
      </c>
      <c r="D323" s="48" t="s">
        <v>18</v>
      </c>
      <c r="E323" s="48" t="s">
        <v>24</v>
      </c>
      <c r="F323" s="48" t="s">
        <v>18</v>
      </c>
      <c r="G323" s="48" t="s">
        <v>42</v>
      </c>
      <c r="H323" s="48" t="s">
        <v>19</v>
      </c>
      <c r="I323" s="48" t="s">
        <v>24</v>
      </c>
      <c r="J323" s="48" t="s">
        <v>18</v>
      </c>
      <c r="K323" s="48" t="s">
        <v>18</v>
      </c>
      <c r="L323" s="48" t="s">
        <v>20</v>
      </c>
      <c r="M323" s="48" t="s">
        <v>19</v>
      </c>
      <c r="N323" s="48" t="s">
        <v>18</v>
      </c>
      <c r="O323" s="48" t="s">
        <v>24</v>
      </c>
      <c r="P323" s="48" t="s">
        <v>22</v>
      </c>
      <c r="Q323" s="48" t="s">
        <v>43</v>
      </c>
      <c r="R323" s="157"/>
      <c r="S323" s="56" t="s">
        <v>0</v>
      </c>
      <c r="T323" s="1">
        <v>47.6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3">
        <f t="shared" si="99"/>
        <v>47.6</v>
      </c>
      <c r="AB323" s="52">
        <v>2018</v>
      </c>
      <c r="AC323" s="9"/>
      <c r="AD323" s="88"/>
      <c r="AE323" s="88"/>
    </row>
    <row r="324" spans="1:31" ht="15.6" hidden="1" customHeight="1" x14ac:dyDescent="0.25">
      <c r="A324" s="48" t="s">
        <v>18</v>
      </c>
      <c r="B324" s="48" t="s">
        <v>18</v>
      </c>
      <c r="C324" s="48" t="s">
        <v>22</v>
      </c>
      <c r="D324" s="48" t="s">
        <v>18</v>
      </c>
      <c r="E324" s="48" t="s">
        <v>24</v>
      </c>
      <c r="F324" s="48" t="s">
        <v>18</v>
      </c>
      <c r="G324" s="48" t="s">
        <v>42</v>
      </c>
      <c r="H324" s="48" t="s">
        <v>19</v>
      </c>
      <c r="I324" s="48" t="s">
        <v>24</v>
      </c>
      <c r="J324" s="48" t="s">
        <v>18</v>
      </c>
      <c r="K324" s="48" t="s">
        <v>18</v>
      </c>
      <c r="L324" s="48" t="s">
        <v>20</v>
      </c>
      <c r="M324" s="48" t="s">
        <v>36</v>
      </c>
      <c r="N324" s="48" t="s">
        <v>18</v>
      </c>
      <c r="O324" s="48" t="s">
        <v>24</v>
      </c>
      <c r="P324" s="48" t="s">
        <v>22</v>
      </c>
      <c r="Q324" s="48" t="s">
        <v>44</v>
      </c>
      <c r="R324" s="157"/>
      <c r="S324" s="56" t="s">
        <v>0</v>
      </c>
      <c r="T324" s="1">
        <v>11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53">
        <f t="shared" si="99"/>
        <v>11</v>
      </c>
      <c r="AB324" s="52">
        <v>2018</v>
      </c>
      <c r="AC324" s="9"/>
      <c r="AD324" s="88"/>
      <c r="AE324" s="88"/>
    </row>
    <row r="325" spans="1:31" ht="15.6" hidden="1" customHeight="1" x14ac:dyDescent="0.25">
      <c r="A325" s="48" t="s">
        <v>18</v>
      </c>
      <c r="B325" s="48" t="s">
        <v>18</v>
      </c>
      <c r="C325" s="48" t="s">
        <v>22</v>
      </c>
      <c r="D325" s="48" t="s">
        <v>18</v>
      </c>
      <c r="E325" s="48" t="s">
        <v>24</v>
      </c>
      <c r="F325" s="48" t="s">
        <v>18</v>
      </c>
      <c r="G325" s="48" t="s">
        <v>42</v>
      </c>
      <c r="H325" s="48" t="s">
        <v>19</v>
      </c>
      <c r="I325" s="48" t="s">
        <v>24</v>
      </c>
      <c r="J325" s="48" t="s">
        <v>18</v>
      </c>
      <c r="K325" s="48" t="s">
        <v>18</v>
      </c>
      <c r="L325" s="48" t="s">
        <v>20</v>
      </c>
      <c r="M325" s="48" t="s">
        <v>36</v>
      </c>
      <c r="N325" s="48" t="s">
        <v>18</v>
      </c>
      <c r="O325" s="48" t="s">
        <v>24</v>
      </c>
      <c r="P325" s="48" t="s">
        <v>22</v>
      </c>
      <c r="Q325" s="48" t="s">
        <v>44</v>
      </c>
      <c r="R325" s="157"/>
      <c r="S325" s="56" t="s">
        <v>0</v>
      </c>
      <c r="T325" s="1">
        <v>12.8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53">
        <f t="shared" si="99"/>
        <v>12.8</v>
      </c>
      <c r="AB325" s="52">
        <v>2018</v>
      </c>
      <c r="AC325" s="9"/>
      <c r="AD325" s="88"/>
      <c r="AE325" s="88"/>
    </row>
    <row r="326" spans="1:31" ht="15.6" hidden="1" customHeight="1" x14ac:dyDescent="0.25">
      <c r="A326" s="48" t="s">
        <v>18</v>
      </c>
      <c r="B326" s="48" t="s">
        <v>18</v>
      </c>
      <c r="C326" s="48" t="s">
        <v>22</v>
      </c>
      <c r="D326" s="48" t="s">
        <v>18</v>
      </c>
      <c r="E326" s="48" t="s">
        <v>24</v>
      </c>
      <c r="F326" s="48" t="s">
        <v>18</v>
      </c>
      <c r="G326" s="48" t="s">
        <v>42</v>
      </c>
      <c r="H326" s="48" t="s">
        <v>19</v>
      </c>
      <c r="I326" s="48" t="s">
        <v>24</v>
      </c>
      <c r="J326" s="48" t="s">
        <v>18</v>
      </c>
      <c r="K326" s="48" t="s">
        <v>18</v>
      </c>
      <c r="L326" s="48" t="s">
        <v>20</v>
      </c>
      <c r="M326" s="48" t="s">
        <v>36</v>
      </c>
      <c r="N326" s="48" t="s">
        <v>18</v>
      </c>
      <c r="O326" s="48" t="s">
        <v>24</v>
      </c>
      <c r="P326" s="48" t="s">
        <v>22</v>
      </c>
      <c r="Q326" s="48" t="s">
        <v>38</v>
      </c>
      <c r="R326" s="157"/>
      <c r="S326" s="56" t="s">
        <v>0</v>
      </c>
      <c r="T326" s="1">
        <v>47.6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3">
        <f t="shared" si="99"/>
        <v>47.6</v>
      </c>
      <c r="AB326" s="52">
        <v>2018</v>
      </c>
      <c r="AC326" s="9"/>
      <c r="AD326" s="88"/>
      <c r="AE326" s="88"/>
    </row>
    <row r="327" spans="1:31" s="62" customFormat="1" ht="46.9" hidden="1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67" t="s">
        <v>184</v>
      </c>
      <c r="S327" s="78" t="s">
        <v>159</v>
      </c>
      <c r="T327" s="3">
        <v>65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43">
        <f t="shared" si="99"/>
        <v>65</v>
      </c>
      <c r="AB327" s="37">
        <v>2018</v>
      </c>
      <c r="AC327" s="60"/>
      <c r="AD327" s="74"/>
      <c r="AE327" s="74"/>
    </row>
    <row r="328" spans="1:31" ht="18.75" customHeight="1" x14ac:dyDescent="0.25">
      <c r="A328" s="48" t="s">
        <v>18</v>
      </c>
      <c r="B328" s="48" t="s">
        <v>18</v>
      </c>
      <c r="C328" s="48" t="s">
        <v>24</v>
      </c>
      <c r="D328" s="48" t="s">
        <v>18</v>
      </c>
      <c r="E328" s="48" t="s">
        <v>18</v>
      </c>
      <c r="F328" s="48" t="s">
        <v>18</v>
      </c>
      <c r="G328" s="48" t="s">
        <v>18</v>
      </c>
      <c r="H328" s="48" t="s">
        <v>19</v>
      </c>
      <c r="I328" s="48" t="s">
        <v>24</v>
      </c>
      <c r="J328" s="48" t="s">
        <v>18</v>
      </c>
      <c r="K328" s="48" t="s">
        <v>18</v>
      </c>
      <c r="L328" s="48" t="s">
        <v>20</v>
      </c>
      <c r="M328" s="48" t="s">
        <v>18</v>
      </c>
      <c r="N328" s="48" t="s">
        <v>18</v>
      </c>
      <c r="O328" s="48" t="s">
        <v>18</v>
      </c>
      <c r="P328" s="48" t="s">
        <v>18</v>
      </c>
      <c r="Q328" s="48" t="s">
        <v>18</v>
      </c>
      <c r="R328" s="163" t="s">
        <v>125</v>
      </c>
      <c r="S328" s="166" t="s">
        <v>0</v>
      </c>
      <c r="T328" s="53">
        <f>SUM(T329:T332)</f>
        <v>3440.1</v>
      </c>
      <c r="U328" s="53">
        <f>SUM(U331:U334)</f>
        <v>3636.2999999999997</v>
      </c>
      <c r="V328" s="53">
        <f>SUM(V329:V334)</f>
        <v>1375.3</v>
      </c>
      <c r="W328" s="53">
        <f>SUM(W329:W337)</f>
        <v>7141.3</v>
      </c>
      <c r="X328" s="53">
        <f t="shared" ref="X328:Z328" si="100">SUM(X329:X337)</f>
        <v>680.7</v>
      </c>
      <c r="Y328" s="53">
        <f t="shared" si="100"/>
        <v>6134.4000000000005</v>
      </c>
      <c r="Z328" s="53">
        <f t="shared" si="100"/>
        <v>5895.1</v>
      </c>
      <c r="AA328" s="53">
        <f>SUM(T328:Z328)</f>
        <v>28303.200000000004</v>
      </c>
      <c r="AB328" s="52">
        <v>2023</v>
      </c>
      <c r="AC328" s="111"/>
      <c r="AD328" s="88"/>
      <c r="AE328" s="88"/>
    </row>
    <row r="329" spans="1:31" x14ac:dyDescent="0.25">
      <c r="A329" s="48" t="s">
        <v>18</v>
      </c>
      <c r="B329" s="48" t="s">
        <v>18</v>
      </c>
      <c r="C329" s="48" t="s">
        <v>24</v>
      </c>
      <c r="D329" s="48" t="s">
        <v>18</v>
      </c>
      <c r="E329" s="48" t="s">
        <v>18</v>
      </c>
      <c r="F329" s="48" t="s">
        <v>18</v>
      </c>
      <c r="G329" s="48" t="s">
        <v>18</v>
      </c>
      <c r="H329" s="48" t="s">
        <v>19</v>
      </c>
      <c r="I329" s="48" t="s">
        <v>24</v>
      </c>
      <c r="J329" s="48" t="s">
        <v>18</v>
      </c>
      <c r="K329" s="48" t="s">
        <v>18</v>
      </c>
      <c r="L329" s="48" t="s">
        <v>20</v>
      </c>
      <c r="M329" s="48" t="s">
        <v>19</v>
      </c>
      <c r="N329" s="48" t="s">
        <v>18</v>
      </c>
      <c r="O329" s="48" t="s">
        <v>24</v>
      </c>
      <c r="P329" s="48" t="s">
        <v>22</v>
      </c>
      <c r="Q329" s="48" t="s">
        <v>43</v>
      </c>
      <c r="R329" s="164"/>
      <c r="S329" s="167"/>
      <c r="T329" s="1">
        <f>T341+T347+T352+T357+T362+T367</f>
        <v>1609.7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53">
        <f t="shared" ref="AA329:AA337" si="101">SUM(T329:Z329)</f>
        <v>1609.7</v>
      </c>
      <c r="AB329" s="52">
        <v>2018</v>
      </c>
      <c r="AC329" s="111"/>
      <c r="AD329" s="88"/>
      <c r="AE329" s="88"/>
    </row>
    <row r="330" spans="1:31" ht="15.6" hidden="1" customHeight="1" x14ac:dyDescent="0.25">
      <c r="A330" s="48" t="s">
        <v>18</v>
      </c>
      <c r="B330" s="48" t="s">
        <v>18</v>
      </c>
      <c r="C330" s="48" t="s">
        <v>24</v>
      </c>
      <c r="D330" s="48" t="s">
        <v>18</v>
      </c>
      <c r="E330" s="48" t="s">
        <v>18</v>
      </c>
      <c r="F330" s="48" t="s">
        <v>18</v>
      </c>
      <c r="G330" s="48" t="s">
        <v>18</v>
      </c>
      <c r="H330" s="48" t="s">
        <v>19</v>
      </c>
      <c r="I330" s="48" t="s">
        <v>24</v>
      </c>
      <c r="J330" s="48" t="s">
        <v>18</v>
      </c>
      <c r="K330" s="48" t="s">
        <v>18</v>
      </c>
      <c r="L330" s="48" t="s">
        <v>20</v>
      </c>
      <c r="M330" s="48" t="s">
        <v>36</v>
      </c>
      <c r="N330" s="48" t="s">
        <v>18</v>
      </c>
      <c r="O330" s="48" t="s">
        <v>42</v>
      </c>
      <c r="P330" s="48" t="s">
        <v>22</v>
      </c>
      <c r="Q330" s="48" t="s">
        <v>162</v>
      </c>
      <c r="R330" s="164"/>
      <c r="S330" s="167"/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3">
        <f t="shared" si="101"/>
        <v>0</v>
      </c>
      <c r="AB330" s="52">
        <v>2018</v>
      </c>
      <c r="AC330" s="111"/>
      <c r="AD330" s="88"/>
      <c r="AE330" s="88"/>
    </row>
    <row r="331" spans="1:31" x14ac:dyDescent="0.25">
      <c r="A331" s="48" t="s">
        <v>18</v>
      </c>
      <c r="B331" s="48" t="s">
        <v>18</v>
      </c>
      <c r="C331" s="48" t="s">
        <v>24</v>
      </c>
      <c r="D331" s="48" t="s">
        <v>18</v>
      </c>
      <c r="E331" s="48" t="s">
        <v>18</v>
      </c>
      <c r="F331" s="48" t="s">
        <v>18</v>
      </c>
      <c r="G331" s="48" t="s">
        <v>18</v>
      </c>
      <c r="H331" s="48" t="s">
        <v>19</v>
      </c>
      <c r="I331" s="48" t="s">
        <v>24</v>
      </c>
      <c r="J331" s="48" t="s">
        <v>18</v>
      </c>
      <c r="K331" s="48" t="s">
        <v>18</v>
      </c>
      <c r="L331" s="48" t="s">
        <v>20</v>
      </c>
      <c r="M331" s="48" t="s">
        <v>36</v>
      </c>
      <c r="N331" s="48" t="s">
        <v>18</v>
      </c>
      <c r="O331" s="48" t="s">
        <v>24</v>
      </c>
      <c r="P331" s="48" t="s">
        <v>22</v>
      </c>
      <c r="Q331" s="48" t="s">
        <v>44</v>
      </c>
      <c r="R331" s="164"/>
      <c r="S331" s="167"/>
      <c r="T331" s="1">
        <f>T343+T348+T353+T358+T363+T368</f>
        <v>441.79999999999995</v>
      </c>
      <c r="U331" s="1">
        <v>394.2</v>
      </c>
      <c r="V331" s="1">
        <v>235.1</v>
      </c>
      <c r="W331" s="1">
        <v>0</v>
      </c>
      <c r="X331" s="1">
        <v>0</v>
      </c>
      <c r="Y331" s="1">
        <v>0</v>
      </c>
      <c r="Z331" s="1">
        <v>0</v>
      </c>
      <c r="AA331" s="53">
        <f t="shared" si="101"/>
        <v>1071.0999999999999</v>
      </c>
      <c r="AB331" s="52">
        <v>2020</v>
      </c>
      <c r="AC331" s="111"/>
      <c r="AD331" s="88"/>
      <c r="AE331" s="88"/>
    </row>
    <row r="332" spans="1:31" x14ac:dyDescent="0.25">
      <c r="A332" s="48" t="s">
        <v>18</v>
      </c>
      <c r="B332" s="48" t="s">
        <v>18</v>
      </c>
      <c r="C332" s="48" t="s">
        <v>24</v>
      </c>
      <c r="D332" s="48" t="s">
        <v>18</v>
      </c>
      <c r="E332" s="48" t="s">
        <v>18</v>
      </c>
      <c r="F332" s="48" t="s">
        <v>18</v>
      </c>
      <c r="G332" s="48" t="s">
        <v>18</v>
      </c>
      <c r="H332" s="48" t="s">
        <v>19</v>
      </c>
      <c r="I332" s="48" t="s">
        <v>24</v>
      </c>
      <c r="J332" s="48" t="s">
        <v>18</v>
      </c>
      <c r="K332" s="48" t="s">
        <v>18</v>
      </c>
      <c r="L332" s="48" t="s">
        <v>20</v>
      </c>
      <c r="M332" s="48" t="s">
        <v>36</v>
      </c>
      <c r="N332" s="48" t="s">
        <v>18</v>
      </c>
      <c r="O332" s="48" t="s">
        <v>24</v>
      </c>
      <c r="P332" s="48" t="s">
        <v>22</v>
      </c>
      <c r="Q332" s="48" t="s">
        <v>38</v>
      </c>
      <c r="R332" s="164"/>
      <c r="S332" s="167"/>
      <c r="T332" s="1">
        <v>1388.6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3">
        <f t="shared" si="101"/>
        <v>1388.6</v>
      </c>
      <c r="AB332" s="52">
        <v>2018</v>
      </c>
      <c r="AC332" s="111"/>
      <c r="AD332" s="88"/>
      <c r="AE332" s="88"/>
    </row>
    <row r="333" spans="1:31" x14ac:dyDescent="0.25">
      <c r="A333" s="48" t="s">
        <v>18</v>
      </c>
      <c r="B333" s="48" t="s">
        <v>18</v>
      </c>
      <c r="C333" s="48" t="s">
        <v>24</v>
      </c>
      <c r="D333" s="48" t="s">
        <v>18</v>
      </c>
      <c r="E333" s="48" t="s">
        <v>18</v>
      </c>
      <c r="F333" s="48" t="s">
        <v>18</v>
      </c>
      <c r="G333" s="48" t="s">
        <v>18</v>
      </c>
      <c r="H333" s="48" t="s">
        <v>19</v>
      </c>
      <c r="I333" s="48" t="s">
        <v>24</v>
      </c>
      <c r="J333" s="48" t="s">
        <v>18</v>
      </c>
      <c r="K333" s="48" t="s">
        <v>18</v>
      </c>
      <c r="L333" s="48" t="s">
        <v>20</v>
      </c>
      <c r="M333" s="48" t="s">
        <v>19</v>
      </c>
      <c r="N333" s="48" t="s">
        <v>18</v>
      </c>
      <c r="O333" s="48" t="s">
        <v>24</v>
      </c>
      <c r="P333" s="48" t="s">
        <v>22</v>
      </c>
      <c r="Q333" s="48" t="s">
        <v>18</v>
      </c>
      <c r="R333" s="164"/>
      <c r="S333" s="167"/>
      <c r="T333" s="1">
        <v>0</v>
      </c>
      <c r="U333" s="1">
        <f>1865.4-95.4</f>
        <v>1770</v>
      </c>
      <c r="V333" s="1">
        <f>600-600</f>
        <v>0</v>
      </c>
      <c r="W333" s="1">
        <v>0</v>
      </c>
      <c r="X333" s="1">
        <v>0</v>
      </c>
      <c r="Y333" s="1">
        <v>0</v>
      </c>
      <c r="Z333" s="1">
        <v>0</v>
      </c>
      <c r="AA333" s="53">
        <f t="shared" si="101"/>
        <v>1770</v>
      </c>
      <c r="AB333" s="52">
        <v>2019</v>
      </c>
      <c r="AC333" s="111"/>
      <c r="AD333" s="88"/>
      <c r="AE333" s="88"/>
    </row>
    <row r="334" spans="1:31" x14ac:dyDescent="0.25">
      <c r="A334" s="48" t="s">
        <v>18</v>
      </c>
      <c r="B334" s="48" t="s">
        <v>18</v>
      </c>
      <c r="C334" s="48" t="s">
        <v>24</v>
      </c>
      <c r="D334" s="48" t="s">
        <v>18</v>
      </c>
      <c r="E334" s="48" t="s">
        <v>18</v>
      </c>
      <c r="F334" s="48" t="s">
        <v>18</v>
      </c>
      <c r="G334" s="48" t="s">
        <v>18</v>
      </c>
      <c r="H334" s="48" t="s">
        <v>19</v>
      </c>
      <c r="I334" s="48" t="s">
        <v>24</v>
      </c>
      <c r="J334" s="48" t="s">
        <v>18</v>
      </c>
      <c r="K334" s="48" t="s">
        <v>18</v>
      </c>
      <c r="L334" s="48" t="s">
        <v>20</v>
      </c>
      <c r="M334" s="48" t="s">
        <v>36</v>
      </c>
      <c r="N334" s="48" t="s">
        <v>18</v>
      </c>
      <c r="O334" s="48" t="s">
        <v>24</v>
      </c>
      <c r="P334" s="48" t="s">
        <v>22</v>
      </c>
      <c r="Q334" s="48" t="s">
        <v>18</v>
      </c>
      <c r="R334" s="164"/>
      <c r="S334" s="167"/>
      <c r="T334" s="1">
        <v>0</v>
      </c>
      <c r="U334" s="1">
        <v>1472.1</v>
      </c>
      <c r="V334" s="1">
        <f>540.2+600</f>
        <v>1140.2</v>
      </c>
      <c r="W334" s="1">
        <v>0</v>
      </c>
      <c r="X334" s="1">
        <v>0</v>
      </c>
      <c r="Y334" s="1">
        <v>0</v>
      </c>
      <c r="Z334" s="1">
        <v>0</v>
      </c>
      <c r="AA334" s="53">
        <f t="shared" si="101"/>
        <v>2612.3000000000002</v>
      </c>
      <c r="AB334" s="52">
        <v>2020</v>
      </c>
      <c r="AC334" s="111"/>
      <c r="AD334" s="88"/>
      <c r="AE334" s="88"/>
    </row>
    <row r="335" spans="1:31" x14ac:dyDescent="0.25">
      <c r="A335" s="48" t="s">
        <v>18</v>
      </c>
      <c r="B335" s="48" t="s">
        <v>18</v>
      </c>
      <c r="C335" s="48" t="s">
        <v>24</v>
      </c>
      <c r="D335" s="48" t="s">
        <v>18</v>
      </c>
      <c r="E335" s="48" t="s">
        <v>18</v>
      </c>
      <c r="F335" s="48" t="s">
        <v>18</v>
      </c>
      <c r="G335" s="48" t="s">
        <v>18</v>
      </c>
      <c r="H335" s="48" t="s">
        <v>19</v>
      </c>
      <c r="I335" s="48" t="s">
        <v>24</v>
      </c>
      <c r="J335" s="48" t="s">
        <v>18</v>
      </c>
      <c r="K335" s="48" t="s">
        <v>18</v>
      </c>
      <c r="L335" s="48" t="s">
        <v>20</v>
      </c>
      <c r="M335" s="48" t="s">
        <v>36</v>
      </c>
      <c r="N335" s="48" t="s">
        <v>42</v>
      </c>
      <c r="O335" s="48" t="s">
        <v>18</v>
      </c>
      <c r="P335" s="48" t="s">
        <v>18</v>
      </c>
      <c r="Q335" s="48" t="s">
        <v>18</v>
      </c>
      <c r="R335" s="164"/>
      <c r="S335" s="167"/>
      <c r="T335" s="1">
        <v>0</v>
      </c>
      <c r="U335" s="1">
        <v>0</v>
      </c>
      <c r="V335" s="1">
        <v>0</v>
      </c>
      <c r="W335" s="1">
        <v>2000.4</v>
      </c>
      <c r="X335" s="1">
        <f>530.5-229</f>
        <v>301.5</v>
      </c>
      <c r="Y335" s="1">
        <v>2594.6999999999998</v>
      </c>
      <c r="Z335" s="1">
        <v>983.6</v>
      </c>
      <c r="AA335" s="53">
        <f t="shared" si="101"/>
        <v>5880.2000000000007</v>
      </c>
      <c r="AB335" s="52">
        <v>2024</v>
      </c>
      <c r="AC335" s="111"/>
      <c r="AD335" s="88"/>
      <c r="AE335" s="88"/>
    </row>
    <row r="336" spans="1:31" x14ac:dyDescent="0.25">
      <c r="A336" s="48" t="s">
        <v>18</v>
      </c>
      <c r="B336" s="48" t="s">
        <v>18</v>
      </c>
      <c r="C336" s="48" t="s">
        <v>24</v>
      </c>
      <c r="D336" s="48" t="s">
        <v>18</v>
      </c>
      <c r="E336" s="48" t="s">
        <v>18</v>
      </c>
      <c r="F336" s="48" t="s">
        <v>18</v>
      </c>
      <c r="G336" s="48" t="s">
        <v>18</v>
      </c>
      <c r="H336" s="48" t="s">
        <v>19</v>
      </c>
      <c r="I336" s="48" t="s">
        <v>24</v>
      </c>
      <c r="J336" s="48" t="s">
        <v>18</v>
      </c>
      <c r="K336" s="48" t="s">
        <v>18</v>
      </c>
      <c r="L336" s="48" t="s">
        <v>20</v>
      </c>
      <c r="M336" s="48" t="s">
        <v>19</v>
      </c>
      <c r="N336" s="48" t="s">
        <v>42</v>
      </c>
      <c r="O336" s="48" t="s">
        <v>18</v>
      </c>
      <c r="P336" s="48" t="s">
        <v>18</v>
      </c>
      <c r="Q336" s="48" t="s">
        <v>18</v>
      </c>
      <c r="R336" s="164"/>
      <c r="S336" s="167"/>
      <c r="T336" s="1">
        <v>0</v>
      </c>
      <c r="U336" s="1">
        <v>0</v>
      </c>
      <c r="V336" s="1">
        <v>0</v>
      </c>
      <c r="W336" s="1">
        <v>4045.4</v>
      </c>
      <c r="X336" s="1">
        <v>305.2</v>
      </c>
      <c r="Y336" s="1">
        <f>3000-111.6</f>
        <v>2888.4</v>
      </c>
      <c r="Z336" s="1">
        <v>4402.3</v>
      </c>
      <c r="AA336" s="53">
        <f t="shared" si="101"/>
        <v>11641.3</v>
      </c>
      <c r="AB336" s="52">
        <v>2024</v>
      </c>
      <c r="AC336" s="111"/>
      <c r="AD336" s="88"/>
      <c r="AE336" s="88"/>
    </row>
    <row r="337" spans="1:31" x14ac:dyDescent="0.25">
      <c r="A337" s="48" t="s">
        <v>18</v>
      </c>
      <c r="B337" s="48" t="s">
        <v>18</v>
      </c>
      <c r="C337" s="48" t="s">
        <v>24</v>
      </c>
      <c r="D337" s="48" t="s">
        <v>18</v>
      </c>
      <c r="E337" s="48" t="s">
        <v>18</v>
      </c>
      <c r="F337" s="48" t="s">
        <v>18</v>
      </c>
      <c r="G337" s="48" t="s">
        <v>18</v>
      </c>
      <c r="H337" s="48" t="s">
        <v>19</v>
      </c>
      <c r="I337" s="48" t="s">
        <v>24</v>
      </c>
      <c r="J337" s="48" t="s">
        <v>18</v>
      </c>
      <c r="K337" s="48" t="s">
        <v>18</v>
      </c>
      <c r="L337" s="48" t="s">
        <v>20</v>
      </c>
      <c r="M337" s="48" t="s">
        <v>36</v>
      </c>
      <c r="N337" s="48" t="s">
        <v>42</v>
      </c>
      <c r="O337" s="48" t="s">
        <v>44</v>
      </c>
      <c r="P337" s="48" t="s">
        <v>18</v>
      </c>
      <c r="Q337" s="48" t="s">
        <v>18</v>
      </c>
      <c r="R337" s="165"/>
      <c r="S337" s="168"/>
      <c r="T337" s="1">
        <v>0</v>
      </c>
      <c r="U337" s="1">
        <v>0</v>
      </c>
      <c r="V337" s="1">
        <v>0</v>
      </c>
      <c r="W337" s="1">
        <v>1095.5</v>
      </c>
      <c r="X337" s="1">
        <v>74</v>
      </c>
      <c r="Y337" s="1">
        <v>651.29999999999995</v>
      </c>
      <c r="Z337" s="1">
        <v>509.2</v>
      </c>
      <c r="AA337" s="53">
        <f t="shared" si="101"/>
        <v>2330</v>
      </c>
      <c r="AB337" s="52">
        <v>2024</v>
      </c>
      <c r="AC337" s="111"/>
      <c r="AD337" s="88"/>
      <c r="AE337" s="88"/>
    </row>
    <row r="338" spans="1:31" ht="34.5" customHeight="1" x14ac:dyDescent="0.2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69" t="s">
        <v>269</v>
      </c>
      <c r="S338" s="55" t="s">
        <v>50</v>
      </c>
      <c r="T338" s="3">
        <v>0.2</v>
      </c>
      <c r="U338" s="3">
        <v>1.2</v>
      </c>
      <c r="V338" s="3">
        <v>0</v>
      </c>
      <c r="W338" s="3">
        <v>1.1000000000000001</v>
      </c>
      <c r="X338" s="3">
        <v>0</v>
      </c>
      <c r="Y338" s="3">
        <v>0</v>
      </c>
      <c r="Z338" s="3">
        <v>0.7</v>
      </c>
      <c r="AA338" s="6">
        <f t="shared" si="99"/>
        <v>2.5</v>
      </c>
      <c r="AB338" s="37">
        <v>2024</v>
      </c>
      <c r="AC338" s="115"/>
      <c r="AD338" s="88"/>
      <c r="AE338" s="88"/>
    </row>
    <row r="339" spans="1:31" ht="36.75" customHeight="1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69" t="s">
        <v>270</v>
      </c>
      <c r="S339" s="73" t="s">
        <v>48</v>
      </c>
      <c r="T339" s="40">
        <v>6</v>
      </c>
      <c r="U339" s="40">
        <v>5</v>
      </c>
      <c r="V339" s="40">
        <v>1</v>
      </c>
      <c r="W339" s="40">
        <v>8</v>
      </c>
      <c r="X339" s="40">
        <v>1</v>
      </c>
      <c r="Y339" s="40">
        <v>2</v>
      </c>
      <c r="Z339" s="40">
        <v>2</v>
      </c>
      <c r="AA339" s="43">
        <f t="shared" si="99"/>
        <v>23</v>
      </c>
      <c r="AB339" s="37">
        <v>2024</v>
      </c>
      <c r="AC339" s="115"/>
      <c r="AD339" s="88"/>
      <c r="AE339" s="88"/>
    </row>
    <row r="340" spans="1:31" ht="16.350000000000001" hidden="1" customHeight="1" x14ac:dyDescent="0.25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157" t="s">
        <v>185</v>
      </c>
      <c r="S340" s="56" t="s">
        <v>0</v>
      </c>
      <c r="T340" s="1">
        <f>SUM(T341:T344)</f>
        <v>943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3">
        <f t="shared" si="99"/>
        <v>943</v>
      </c>
      <c r="AB340" s="52">
        <v>2018</v>
      </c>
      <c r="AC340" s="9"/>
      <c r="AD340" s="88"/>
      <c r="AE340" s="88"/>
    </row>
    <row r="341" spans="1:31" ht="16.350000000000001" hidden="1" customHeight="1" x14ac:dyDescent="0.25">
      <c r="A341" s="48" t="s">
        <v>18</v>
      </c>
      <c r="B341" s="48" t="s">
        <v>18</v>
      </c>
      <c r="C341" s="48" t="s">
        <v>24</v>
      </c>
      <c r="D341" s="48" t="s">
        <v>18</v>
      </c>
      <c r="E341" s="48" t="s">
        <v>24</v>
      </c>
      <c r="F341" s="48" t="s">
        <v>18</v>
      </c>
      <c r="G341" s="48" t="s">
        <v>42</v>
      </c>
      <c r="H341" s="48" t="s">
        <v>19</v>
      </c>
      <c r="I341" s="48" t="s">
        <v>24</v>
      </c>
      <c r="J341" s="48" t="s">
        <v>18</v>
      </c>
      <c r="K341" s="48" t="s">
        <v>18</v>
      </c>
      <c r="L341" s="48" t="s">
        <v>20</v>
      </c>
      <c r="M341" s="48" t="s">
        <v>19</v>
      </c>
      <c r="N341" s="48" t="s">
        <v>18</v>
      </c>
      <c r="O341" s="48" t="s">
        <v>24</v>
      </c>
      <c r="P341" s="48" t="s">
        <v>22</v>
      </c>
      <c r="Q341" s="48" t="s">
        <v>43</v>
      </c>
      <c r="R341" s="157"/>
      <c r="S341" s="56" t="s">
        <v>0</v>
      </c>
      <c r="T341" s="1">
        <v>377.2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3">
        <f t="shared" si="99"/>
        <v>377.2</v>
      </c>
      <c r="AB341" s="52">
        <v>2018</v>
      </c>
      <c r="AC341" s="9"/>
      <c r="AD341" s="88"/>
      <c r="AE341" s="88"/>
    </row>
    <row r="342" spans="1:31" ht="16.350000000000001" hidden="1" customHeight="1" x14ac:dyDescent="0.25">
      <c r="A342" s="48" t="s">
        <v>18</v>
      </c>
      <c r="B342" s="48" t="s">
        <v>18</v>
      </c>
      <c r="C342" s="48" t="s">
        <v>24</v>
      </c>
      <c r="D342" s="48" t="s">
        <v>18</v>
      </c>
      <c r="E342" s="48" t="s">
        <v>24</v>
      </c>
      <c r="F342" s="48" t="s">
        <v>18</v>
      </c>
      <c r="G342" s="48" t="s">
        <v>42</v>
      </c>
      <c r="H342" s="48" t="s">
        <v>19</v>
      </c>
      <c r="I342" s="48" t="s">
        <v>24</v>
      </c>
      <c r="J342" s="48" t="s">
        <v>18</v>
      </c>
      <c r="K342" s="48" t="s">
        <v>18</v>
      </c>
      <c r="L342" s="48" t="s">
        <v>20</v>
      </c>
      <c r="M342" s="48" t="s">
        <v>36</v>
      </c>
      <c r="N342" s="48" t="s">
        <v>18</v>
      </c>
      <c r="O342" s="48" t="s">
        <v>42</v>
      </c>
      <c r="P342" s="48" t="s">
        <v>22</v>
      </c>
      <c r="Q342" s="48" t="s">
        <v>162</v>
      </c>
      <c r="R342" s="157"/>
      <c r="S342" s="56" t="s">
        <v>0</v>
      </c>
      <c r="T342" s="1">
        <v>30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53">
        <f t="shared" si="99"/>
        <v>30</v>
      </c>
      <c r="AB342" s="52">
        <v>2018</v>
      </c>
      <c r="AC342" s="9"/>
      <c r="AD342" s="88"/>
      <c r="AE342" s="88"/>
    </row>
    <row r="343" spans="1:31" ht="16.350000000000001" hidden="1" customHeight="1" x14ac:dyDescent="0.25">
      <c r="A343" s="48" t="s">
        <v>18</v>
      </c>
      <c r="B343" s="48" t="s">
        <v>18</v>
      </c>
      <c r="C343" s="48" t="s">
        <v>24</v>
      </c>
      <c r="D343" s="48" t="s">
        <v>18</v>
      </c>
      <c r="E343" s="48" t="s">
        <v>24</v>
      </c>
      <c r="F343" s="48" t="s">
        <v>18</v>
      </c>
      <c r="G343" s="48" t="s">
        <v>42</v>
      </c>
      <c r="H343" s="48" t="s">
        <v>19</v>
      </c>
      <c r="I343" s="48" t="s">
        <v>24</v>
      </c>
      <c r="J343" s="48" t="s">
        <v>18</v>
      </c>
      <c r="K343" s="48" t="s">
        <v>18</v>
      </c>
      <c r="L343" s="48" t="s">
        <v>20</v>
      </c>
      <c r="M343" s="48" t="s">
        <v>36</v>
      </c>
      <c r="N343" s="48" t="s">
        <v>18</v>
      </c>
      <c r="O343" s="48" t="s">
        <v>24</v>
      </c>
      <c r="P343" s="48" t="s">
        <v>22</v>
      </c>
      <c r="Q343" s="48" t="s">
        <v>44</v>
      </c>
      <c r="R343" s="157"/>
      <c r="S343" s="56" t="s">
        <v>0</v>
      </c>
      <c r="T343" s="1">
        <v>113.2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3">
        <f t="shared" si="99"/>
        <v>113.2</v>
      </c>
      <c r="AB343" s="52">
        <v>2018</v>
      </c>
      <c r="AC343" s="9"/>
      <c r="AD343" s="88"/>
      <c r="AE343" s="88"/>
    </row>
    <row r="344" spans="1:31" ht="16.350000000000001" hidden="1" customHeight="1" x14ac:dyDescent="0.25">
      <c r="A344" s="48" t="s">
        <v>18</v>
      </c>
      <c r="B344" s="48" t="s">
        <v>18</v>
      </c>
      <c r="C344" s="48" t="s">
        <v>24</v>
      </c>
      <c r="D344" s="48" t="s">
        <v>18</v>
      </c>
      <c r="E344" s="48" t="s">
        <v>24</v>
      </c>
      <c r="F344" s="48" t="s">
        <v>18</v>
      </c>
      <c r="G344" s="48" t="s">
        <v>42</v>
      </c>
      <c r="H344" s="48" t="s">
        <v>19</v>
      </c>
      <c r="I344" s="48" t="s">
        <v>24</v>
      </c>
      <c r="J344" s="48" t="s">
        <v>18</v>
      </c>
      <c r="K344" s="48" t="s">
        <v>18</v>
      </c>
      <c r="L344" s="48" t="s">
        <v>20</v>
      </c>
      <c r="M344" s="48" t="s">
        <v>36</v>
      </c>
      <c r="N344" s="48" t="s">
        <v>18</v>
      </c>
      <c r="O344" s="48" t="s">
        <v>24</v>
      </c>
      <c r="P344" s="48" t="s">
        <v>22</v>
      </c>
      <c r="Q344" s="48" t="s">
        <v>38</v>
      </c>
      <c r="R344" s="157"/>
      <c r="S344" s="56" t="s">
        <v>0</v>
      </c>
      <c r="T344" s="1">
        <v>422.6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3">
        <f t="shared" si="99"/>
        <v>422.6</v>
      </c>
      <c r="AB344" s="52">
        <v>2018</v>
      </c>
      <c r="AC344" s="9"/>
      <c r="AD344" s="88"/>
      <c r="AE344" s="88"/>
    </row>
    <row r="345" spans="1:31" ht="33.6" hidden="1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77" t="s">
        <v>186</v>
      </c>
      <c r="S345" s="73" t="s">
        <v>159</v>
      </c>
      <c r="T345" s="3">
        <v>1046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6">
        <f t="shared" si="99"/>
        <v>1046</v>
      </c>
      <c r="AB345" s="37">
        <v>2018</v>
      </c>
      <c r="AC345" s="9"/>
      <c r="AD345" s="88"/>
      <c r="AE345" s="88"/>
    </row>
    <row r="346" spans="1:31" ht="21.75" hidden="1" customHeight="1" x14ac:dyDescent="0.25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157" t="s">
        <v>187</v>
      </c>
      <c r="S346" s="56" t="s">
        <v>0</v>
      </c>
      <c r="T346" s="1">
        <f>SUM(T347:T349)</f>
        <v>835.4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3">
        <f>SUM(T346:Y346)</f>
        <v>835.4</v>
      </c>
      <c r="AB346" s="52">
        <v>2018</v>
      </c>
      <c r="AC346" s="9"/>
      <c r="AD346" s="88"/>
      <c r="AE346" s="88"/>
    </row>
    <row r="347" spans="1:31" ht="22.9" hidden="1" customHeight="1" x14ac:dyDescent="0.25">
      <c r="A347" s="48" t="s">
        <v>18</v>
      </c>
      <c r="B347" s="48" t="s">
        <v>18</v>
      </c>
      <c r="C347" s="48" t="s">
        <v>24</v>
      </c>
      <c r="D347" s="48" t="s">
        <v>18</v>
      </c>
      <c r="E347" s="48" t="s">
        <v>21</v>
      </c>
      <c r="F347" s="48" t="s">
        <v>18</v>
      </c>
      <c r="G347" s="48" t="s">
        <v>22</v>
      </c>
      <c r="H347" s="48" t="s">
        <v>19</v>
      </c>
      <c r="I347" s="48" t="s">
        <v>24</v>
      </c>
      <c r="J347" s="48" t="s">
        <v>18</v>
      </c>
      <c r="K347" s="48" t="s">
        <v>18</v>
      </c>
      <c r="L347" s="48" t="s">
        <v>20</v>
      </c>
      <c r="M347" s="48" t="s">
        <v>19</v>
      </c>
      <c r="N347" s="48" t="s">
        <v>18</v>
      </c>
      <c r="O347" s="48" t="s">
        <v>24</v>
      </c>
      <c r="P347" s="48" t="s">
        <v>22</v>
      </c>
      <c r="Q347" s="48" t="s">
        <v>43</v>
      </c>
      <c r="R347" s="157"/>
      <c r="S347" s="56" t="s">
        <v>0</v>
      </c>
      <c r="T347" s="1">
        <v>334.2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3">
        <f>SUM(T347:Y347)</f>
        <v>334.2</v>
      </c>
      <c r="AB347" s="52">
        <v>2018</v>
      </c>
      <c r="AC347" s="9"/>
      <c r="AD347" s="88"/>
      <c r="AE347" s="88"/>
    </row>
    <row r="348" spans="1:31" ht="22.15" hidden="1" customHeight="1" x14ac:dyDescent="0.25">
      <c r="A348" s="48" t="s">
        <v>18</v>
      </c>
      <c r="B348" s="48" t="s">
        <v>18</v>
      </c>
      <c r="C348" s="48" t="s">
        <v>24</v>
      </c>
      <c r="D348" s="48" t="s">
        <v>18</v>
      </c>
      <c r="E348" s="48" t="s">
        <v>21</v>
      </c>
      <c r="F348" s="48" t="s">
        <v>18</v>
      </c>
      <c r="G348" s="48" t="s">
        <v>22</v>
      </c>
      <c r="H348" s="48" t="s">
        <v>19</v>
      </c>
      <c r="I348" s="48" t="s">
        <v>24</v>
      </c>
      <c r="J348" s="48" t="s">
        <v>18</v>
      </c>
      <c r="K348" s="48" t="s">
        <v>18</v>
      </c>
      <c r="L348" s="48" t="s">
        <v>20</v>
      </c>
      <c r="M348" s="48" t="s">
        <v>36</v>
      </c>
      <c r="N348" s="48" t="s">
        <v>18</v>
      </c>
      <c r="O348" s="48" t="s">
        <v>24</v>
      </c>
      <c r="P348" s="48" t="s">
        <v>22</v>
      </c>
      <c r="Q348" s="48" t="s">
        <v>44</v>
      </c>
      <c r="R348" s="157"/>
      <c r="S348" s="56" t="s">
        <v>0</v>
      </c>
      <c r="T348" s="1">
        <v>83.5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53">
        <f>SUM(T348:Y348)</f>
        <v>83.5</v>
      </c>
      <c r="AB348" s="52">
        <v>2018</v>
      </c>
      <c r="AC348" s="9"/>
      <c r="AD348" s="88"/>
      <c r="AE348" s="88"/>
    </row>
    <row r="349" spans="1:31" ht="21.75" hidden="1" customHeight="1" x14ac:dyDescent="0.25">
      <c r="A349" s="48" t="s">
        <v>18</v>
      </c>
      <c r="B349" s="48" t="s">
        <v>18</v>
      </c>
      <c r="C349" s="48" t="s">
        <v>24</v>
      </c>
      <c r="D349" s="48" t="s">
        <v>18</v>
      </c>
      <c r="E349" s="48" t="s">
        <v>21</v>
      </c>
      <c r="F349" s="48" t="s">
        <v>18</v>
      </c>
      <c r="G349" s="48" t="s">
        <v>22</v>
      </c>
      <c r="H349" s="48" t="s">
        <v>19</v>
      </c>
      <c r="I349" s="48" t="s">
        <v>24</v>
      </c>
      <c r="J349" s="48" t="s">
        <v>18</v>
      </c>
      <c r="K349" s="48" t="s">
        <v>18</v>
      </c>
      <c r="L349" s="48" t="s">
        <v>20</v>
      </c>
      <c r="M349" s="48" t="s">
        <v>36</v>
      </c>
      <c r="N349" s="48" t="s">
        <v>18</v>
      </c>
      <c r="O349" s="48" t="s">
        <v>24</v>
      </c>
      <c r="P349" s="48" t="s">
        <v>22</v>
      </c>
      <c r="Q349" s="48" t="s">
        <v>38</v>
      </c>
      <c r="R349" s="157"/>
      <c r="S349" s="56" t="s">
        <v>0</v>
      </c>
      <c r="T349" s="1">
        <v>417.7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53">
        <f>SUM(T349:Y349)</f>
        <v>417.7</v>
      </c>
      <c r="AB349" s="52">
        <v>2018</v>
      </c>
      <c r="AC349" s="9"/>
      <c r="AD349" s="88"/>
      <c r="AE349" s="88"/>
    </row>
    <row r="350" spans="1:31" ht="47.45" hidden="1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77" t="s">
        <v>188</v>
      </c>
      <c r="S350" s="73" t="s">
        <v>8</v>
      </c>
      <c r="T350" s="40">
        <v>1</v>
      </c>
      <c r="U350" s="40">
        <v>0</v>
      </c>
      <c r="V350" s="40">
        <v>0</v>
      </c>
      <c r="W350" s="40">
        <v>0</v>
      </c>
      <c r="X350" s="40">
        <v>0</v>
      </c>
      <c r="Y350" s="40">
        <v>0</v>
      </c>
      <c r="Z350" s="40">
        <v>0</v>
      </c>
      <c r="AA350" s="6">
        <f>SUM(T350:Y350)</f>
        <v>1</v>
      </c>
      <c r="AB350" s="37">
        <v>2018</v>
      </c>
      <c r="AC350" s="9"/>
      <c r="AD350" s="88"/>
      <c r="AE350" s="88"/>
    </row>
    <row r="351" spans="1:31" ht="16.350000000000001" hidden="1" customHeight="1" x14ac:dyDescent="0.25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157" t="s">
        <v>189</v>
      </c>
      <c r="S351" s="56" t="s">
        <v>0</v>
      </c>
      <c r="T351" s="1">
        <f>SUM(T352:T354)</f>
        <v>952.5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3">
        <f t="shared" ref="AA351:AA384" si="102">SUM(T351:Y351)</f>
        <v>952.5</v>
      </c>
      <c r="AB351" s="52">
        <v>2018</v>
      </c>
      <c r="AC351" s="9"/>
      <c r="AD351" s="88"/>
      <c r="AE351" s="88"/>
    </row>
    <row r="352" spans="1:31" ht="16.350000000000001" hidden="1" customHeight="1" x14ac:dyDescent="0.25">
      <c r="A352" s="48" t="s">
        <v>18</v>
      </c>
      <c r="B352" s="48" t="s">
        <v>18</v>
      </c>
      <c r="C352" s="48" t="s">
        <v>24</v>
      </c>
      <c r="D352" s="48" t="s">
        <v>18</v>
      </c>
      <c r="E352" s="48" t="s">
        <v>21</v>
      </c>
      <c r="F352" s="48" t="s">
        <v>18</v>
      </c>
      <c r="G352" s="48" t="s">
        <v>22</v>
      </c>
      <c r="H352" s="48" t="s">
        <v>19</v>
      </c>
      <c r="I352" s="48" t="s">
        <v>24</v>
      </c>
      <c r="J352" s="48" t="s">
        <v>18</v>
      </c>
      <c r="K352" s="48" t="s">
        <v>18</v>
      </c>
      <c r="L352" s="48" t="s">
        <v>20</v>
      </c>
      <c r="M352" s="48" t="s">
        <v>19</v>
      </c>
      <c r="N352" s="48" t="s">
        <v>18</v>
      </c>
      <c r="O352" s="48" t="s">
        <v>24</v>
      </c>
      <c r="P352" s="48" t="s">
        <v>22</v>
      </c>
      <c r="Q352" s="48" t="s">
        <v>43</v>
      </c>
      <c r="R352" s="157"/>
      <c r="S352" s="56" t="s">
        <v>0</v>
      </c>
      <c r="T352" s="1">
        <v>381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3">
        <f t="shared" si="102"/>
        <v>381</v>
      </c>
      <c r="AB352" s="52">
        <v>2018</v>
      </c>
      <c r="AC352" s="9"/>
      <c r="AD352" s="88"/>
      <c r="AE352" s="88"/>
    </row>
    <row r="353" spans="1:31" ht="16.350000000000001" hidden="1" customHeight="1" x14ac:dyDescent="0.25">
      <c r="A353" s="48" t="s">
        <v>18</v>
      </c>
      <c r="B353" s="48" t="s">
        <v>18</v>
      </c>
      <c r="C353" s="48" t="s">
        <v>24</v>
      </c>
      <c r="D353" s="48" t="s">
        <v>18</v>
      </c>
      <c r="E353" s="48" t="s">
        <v>21</v>
      </c>
      <c r="F353" s="48" t="s">
        <v>18</v>
      </c>
      <c r="G353" s="48" t="s">
        <v>22</v>
      </c>
      <c r="H353" s="48" t="s">
        <v>19</v>
      </c>
      <c r="I353" s="48" t="s">
        <v>24</v>
      </c>
      <c r="J353" s="48" t="s">
        <v>18</v>
      </c>
      <c r="K353" s="48" t="s">
        <v>18</v>
      </c>
      <c r="L353" s="48" t="s">
        <v>20</v>
      </c>
      <c r="M353" s="48" t="s">
        <v>36</v>
      </c>
      <c r="N353" s="48" t="s">
        <v>18</v>
      </c>
      <c r="O353" s="48" t="s">
        <v>24</v>
      </c>
      <c r="P353" s="48" t="s">
        <v>22</v>
      </c>
      <c r="Q353" s="48" t="s">
        <v>44</v>
      </c>
      <c r="R353" s="157"/>
      <c r="S353" s="56" t="s">
        <v>0</v>
      </c>
      <c r="T353" s="1">
        <v>114.3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3">
        <f t="shared" si="102"/>
        <v>114.3</v>
      </c>
      <c r="AB353" s="52">
        <v>2018</v>
      </c>
      <c r="AC353" s="9"/>
      <c r="AD353" s="88"/>
      <c r="AE353" s="88"/>
    </row>
    <row r="354" spans="1:31" ht="16.350000000000001" hidden="1" customHeight="1" x14ac:dyDescent="0.25">
      <c r="A354" s="48" t="s">
        <v>18</v>
      </c>
      <c r="B354" s="48" t="s">
        <v>18</v>
      </c>
      <c r="C354" s="48" t="s">
        <v>24</v>
      </c>
      <c r="D354" s="48" t="s">
        <v>18</v>
      </c>
      <c r="E354" s="48" t="s">
        <v>21</v>
      </c>
      <c r="F354" s="48" t="s">
        <v>18</v>
      </c>
      <c r="G354" s="48" t="s">
        <v>22</v>
      </c>
      <c r="H354" s="48" t="s">
        <v>19</v>
      </c>
      <c r="I354" s="48" t="s">
        <v>24</v>
      </c>
      <c r="J354" s="48" t="s">
        <v>18</v>
      </c>
      <c r="K354" s="48" t="s">
        <v>18</v>
      </c>
      <c r="L354" s="48" t="s">
        <v>20</v>
      </c>
      <c r="M354" s="48" t="s">
        <v>36</v>
      </c>
      <c r="N354" s="48" t="s">
        <v>18</v>
      </c>
      <c r="O354" s="48" t="s">
        <v>24</v>
      </c>
      <c r="P354" s="48" t="s">
        <v>22</v>
      </c>
      <c r="Q354" s="48" t="s">
        <v>38</v>
      </c>
      <c r="R354" s="157"/>
      <c r="S354" s="56" t="s">
        <v>0</v>
      </c>
      <c r="T354" s="1">
        <v>457.2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3">
        <f t="shared" si="102"/>
        <v>457.2</v>
      </c>
      <c r="AB354" s="52">
        <v>2018</v>
      </c>
      <c r="AC354" s="9"/>
      <c r="AD354" s="88"/>
      <c r="AE354" s="88"/>
    </row>
    <row r="355" spans="1:31" ht="31.15" hidden="1" customHeight="1" x14ac:dyDescent="0.2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69" t="s">
        <v>190</v>
      </c>
      <c r="S355" s="73" t="s">
        <v>159</v>
      </c>
      <c r="T355" s="3">
        <v>151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6">
        <f t="shared" si="102"/>
        <v>151</v>
      </c>
      <c r="AB355" s="37">
        <v>2018</v>
      </c>
      <c r="AC355" s="9"/>
      <c r="AD355" s="88"/>
      <c r="AE355" s="88"/>
    </row>
    <row r="356" spans="1:31" ht="15.6" hidden="1" customHeight="1" x14ac:dyDescent="0.25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157" t="s">
        <v>191</v>
      </c>
      <c r="S356" s="56" t="s">
        <v>0</v>
      </c>
      <c r="T356" s="1">
        <f>SUM(T357:T359)</f>
        <v>435.8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3">
        <f t="shared" si="102"/>
        <v>435.8</v>
      </c>
      <c r="AB356" s="52">
        <v>2018</v>
      </c>
      <c r="AC356" s="9"/>
      <c r="AD356" s="88"/>
      <c r="AE356" s="88"/>
    </row>
    <row r="357" spans="1:31" ht="15.6" hidden="1" customHeight="1" x14ac:dyDescent="0.25">
      <c r="A357" s="48" t="s">
        <v>18</v>
      </c>
      <c r="B357" s="48" t="s">
        <v>18</v>
      </c>
      <c r="C357" s="48" t="s">
        <v>24</v>
      </c>
      <c r="D357" s="48" t="s">
        <v>18</v>
      </c>
      <c r="E357" s="48" t="s">
        <v>21</v>
      </c>
      <c r="F357" s="48" t="s">
        <v>18</v>
      </c>
      <c r="G357" s="48" t="s">
        <v>22</v>
      </c>
      <c r="H357" s="48" t="s">
        <v>19</v>
      </c>
      <c r="I357" s="48" t="s">
        <v>24</v>
      </c>
      <c r="J357" s="48" t="s">
        <v>18</v>
      </c>
      <c r="K357" s="48" t="s">
        <v>18</v>
      </c>
      <c r="L357" s="48" t="s">
        <v>20</v>
      </c>
      <c r="M357" s="48" t="s">
        <v>19</v>
      </c>
      <c r="N357" s="48" t="s">
        <v>18</v>
      </c>
      <c r="O357" s="48" t="s">
        <v>24</v>
      </c>
      <c r="P357" s="48" t="s">
        <v>22</v>
      </c>
      <c r="Q357" s="48" t="s">
        <v>43</v>
      </c>
      <c r="R357" s="157"/>
      <c r="S357" s="56" t="s">
        <v>0</v>
      </c>
      <c r="T357" s="1">
        <v>174.3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3">
        <f t="shared" si="102"/>
        <v>174.3</v>
      </c>
      <c r="AB357" s="52">
        <v>2018</v>
      </c>
      <c r="AC357" s="9"/>
      <c r="AD357" s="88"/>
      <c r="AE357" s="88"/>
    </row>
    <row r="358" spans="1:31" ht="15.6" hidden="1" customHeight="1" x14ac:dyDescent="0.25">
      <c r="A358" s="48" t="s">
        <v>18</v>
      </c>
      <c r="B358" s="48" t="s">
        <v>18</v>
      </c>
      <c r="C358" s="48" t="s">
        <v>24</v>
      </c>
      <c r="D358" s="48" t="s">
        <v>18</v>
      </c>
      <c r="E358" s="48" t="s">
        <v>21</v>
      </c>
      <c r="F358" s="48" t="s">
        <v>18</v>
      </c>
      <c r="G358" s="48" t="s">
        <v>22</v>
      </c>
      <c r="H358" s="48" t="s">
        <v>19</v>
      </c>
      <c r="I358" s="48" t="s">
        <v>24</v>
      </c>
      <c r="J358" s="48" t="s">
        <v>18</v>
      </c>
      <c r="K358" s="48" t="s">
        <v>18</v>
      </c>
      <c r="L358" s="48" t="s">
        <v>20</v>
      </c>
      <c r="M358" s="48" t="s">
        <v>36</v>
      </c>
      <c r="N358" s="48" t="s">
        <v>18</v>
      </c>
      <c r="O358" s="48" t="s">
        <v>24</v>
      </c>
      <c r="P358" s="48" t="s">
        <v>22</v>
      </c>
      <c r="Q358" s="48" t="s">
        <v>44</v>
      </c>
      <c r="R358" s="157"/>
      <c r="S358" s="56" t="s">
        <v>0</v>
      </c>
      <c r="T358" s="1">
        <v>45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3">
        <f t="shared" si="102"/>
        <v>45</v>
      </c>
      <c r="AB358" s="52">
        <v>2018</v>
      </c>
      <c r="AC358" s="9"/>
      <c r="AD358" s="88"/>
      <c r="AE358" s="88"/>
    </row>
    <row r="359" spans="1:31" ht="15.6" hidden="1" customHeight="1" x14ac:dyDescent="0.25">
      <c r="A359" s="48" t="s">
        <v>18</v>
      </c>
      <c r="B359" s="48" t="s">
        <v>18</v>
      </c>
      <c r="C359" s="48" t="s">
        <v>24</v>
      </c>
      <c r="D359" s="48" t="s">
        <v>18</v>
      </c>
      <c r="E359" s="48" t="s">
        <v>21</v>
      </c>
      <c r="F359" s="48" t="s">
        <v>18</v>
      </c>
      <c r="G359" s="48" t="s">
        <v>22</v>
      </c>
      <c r="H359" s="48" t="s">
        <v>19</v>
      </c>
      <c r="I359" s="48" t="s">
        <v>24</v>
      </c>
      <c r="J359" s="48" t="s">
        <v>18</v>
      </c>
      <c r="K359" s="48" t="s">
        <v>18</v>
      </c>
      <c r="L359" s="48" t="s">
        <v>20</v>
      </c>
      <c r="M359" s="48" t="s">
        <v>36</v>
      </c>
      <c r="N359" s="48" t="s">
        <v>18</v>
      </c>
      <c r="O359" s="48" t="s">
        <v>24</v>
      </c>
      <c r="P359" s="48" t="s">
        <v>22</v>
      </c>
      <c r="Q359" s="48" t="s">
        <v>38</v>
      </c>
      <c r="R359" s="157"/>
      <c r="S359" s="56" t="s">
        <v>0</v>
      </c>
      <c r="T359" s="1">
        <v>216.5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3">
        <f t="shared" si="102"/>
        <v>216.5</v>
      </c>
      <c r="AB359" s="52">
        <v>2018</v>
      </c>
      <c r="AC359" s="9"/>
      <c r="AD359" s="88"/>
      <c r="AE359" s="88"/>
    </row>
    <row r="360" spans="1:31" ht="46.9" hidden="1" customHeight="1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69" t="s">
        <v>192</v>
      </c>
      <c r="S360" s="73" t="s">
        <v>48</v>
      </c>
      <c r="T360" s="40">
        <v>16</v>
      </c>
      <c r="U360" s="40">
        <v>0</v>
      </c>
      <c r="V360" s="40">
        <v>0</v>
      </c>
      <c r="W360" s="40">
        <v>0</v>
      </c>
      <c r="X360" s="40">
        <v>0</v>
      </c>
      <c r="Y360" s="40">
        <v>0</v>
      </c>
      <c r="Z360" s="40">
        <v>0</v>
      </c>
      <c r="AA360" s="43">
        <f t="shared" si="102"/>
        <v>16</v>
      </c>
      <c r="AB360" s="37">
        <v>2018</v>
      </c>
      <c r="AC360" s="9"/>
      <c r="AD360" s="88"/>
      <c r="AE360" s="88"/>
    </row>
    <row r="361" spans="1:31" ht="15.6" hidden="1" customHeight="1" x14ac:dyDescent="0.25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157" t="s">
        <v>193</v>
      </c>
      <c r="S361" s="56" t="s">
        <v>0</v>
      </c>
      <c r="T361" s="1">
        <f>SUM(T362:T364)</f>
        <v>349.1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3">
        <f t="shared" si="102"/>
        <v>349.1</v>
      </c>
      <c r="AB361" s="52">
        <v>2018</v>
      </c>
      <c r="AC361" s="9"/>
      <c r="AD361" s="88"/>
      <c r="AE361" s="88"/>
    </row>
    <row r="362" spans="1:31" ht="15.6" hidden="1" customHeight="1" x14ac:dyDescent="0.25">
      <c r="A362" s="48" t="s">
        <v>18</v>
      </c>
      <c r="B362" s="48" t="s">
        <v>18</v>
      </c>
      <c r="C362" s="48" t="s">
        <v>24</v>
      </c>
      <c r="D362" s="48" t="s">
        <v>18</v>
      </c>
      <c r="E362" s="48" t="s">
        <v>21</v>
      </c>
      <c r="F362" s="48" t="s">
        <v>18</v>
      </c>
      <c r="G362" s="48" t="s">
        <v>22</v>
      </c>
      <c r="H362" s="48" t="s">
        <v>19</v>
      </c>
      <c r="I362" s="48" t="s">
        <v>24</v>
      </c>
      <c r="J362" s="48" t="s">
        <v>18</v>
      </c>
      <c r="K362" s="48" t="s">
        <v>18</v>
      </c>
      <c r="L362" s="48" t="s">
        <v>20</v>
      </c>
      <c r="M362" s="48" t="s">
        <v>19</v>
      </c>
      <c r="N362" s="48" t="s">
        <v>18</v>
      </c>
      <c r="O362" s="48" t="s">
        <v>24</v>
      </c>
      <c r="P362" s="48" t="s">
        <v>22</v>
      </c>
      <c r="Q362" s="48" t="s">
        <v>43</v>
      </c>
      <c r="R362" s="157"/>
      <c r="S362" s="56" t="s">
        <v>0</v>
      </c>
      <c r="T362" s="1">
        <v>139.6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53">
        <f t="shared" si="102"/>
        <v>139.6</v>
      </c>
      <c r="AB362" s="52">
        <v>2018</v>
      </c>
      <c r="AC362" s="9"/>
      <c r="AD362" s="88"/>
      <c r="AE362" s="88"/>
    </row>
    <row r="363" spans="1:31" ht="15.6" hidden="1" customHeight="1" x14ac:dyDescent="0.25">
      <c r="A363" s="48" t="s">
        <v>18</v>
      </c>
      <c r="B363" s="48" t="s">
        <v>18</v>
      </c>
      <c r="C363" s="48" t="s">
        <v>24</v>
      </c>
      <c r="D363" s="48" t="s">
        <v>18</v>
      </c>
      <c r="E363" s="48" t="s">
        <v>21</v>
      </c>
      <c r="F363" s="48" t="s">
        <v>18</v>
      </c>
      <c r="G363" s="48" t="s">
        <v>22</v>
      </c>
      <c r="H363" s="48" t="s">
        <v>19</v>
      </c>
      <c r="I363" s="48" t="s">
        <v>24</v>
      </c>
      <c r="J363" s="48" t="s">
        <v>18</v>
      </c>
      <c r="K363" s="48" t="s">
        <v>18</v>
      </c>
      <c r="L363" s="48" t="s">
        <v>20</v>
      </c>
      <c r="M363" s="48" t="s">
        <v>36</v>
      </c>
      <c r="N363" s="48" t="s">
        <v>18</v>
      </c>
      <c r="O363" s="48" t="s">
        <v>24</v>
      </c>
      <c r="P363" s="48" t="s">
        <v>22</v>
      </c>
      <c r="Q363" s="48" t="s">
        <v>44</v>
      </c>
      <c r="R363" s="157"/>
      <c r="S363" s="56" t="s">
        <v>0</v>
      </c>
      <c r="T363" s="1">
        <v>34.9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53">
        <f t="shared" si="102"/>
        <v>34.9</v>
      </c>
      <c r="AB363" s="52">
        <v>2018</v>
      </c>
      <c r="AC363" s="9"/>
      <c r="AD363" s="88"/>
      <c r="AE363" s="88"/>
    </row>
    <row r="364" spans="1:31" ht="15.6" hidden="1" customHeight="1" x14ac:dyDescent="0.25">
      <c r="A364" s="48" t="s">
        <v>18</v>
      </c>
      <c r="B364" s="48" t="s">
        <v>18</v>
      </c>
      <c r="C364" s="48" t="s">
        <v>24</v>
      </c>
      <c r="D364" s="48" t="s">
        <v>18</v>
      </c>
      <c r="E364" s="48" t="s">
        <v>21</v>
      </c>
      <c r="F364" s="48" t="s">
        <v>18</v>
      </c>
      <c r="G364" s="48" t="s">
        <v>22</v>
      </c>
      <c r="H364" s="48" t="s">
        <v>19</v>
      </c>
      <c r="I364" s="48" t="s">
        <v>24</v>
      </c>
      <c r="J364" s="48" t="s">
        <v>18</v>
      </c>
      <c r="K364" s="48" t="s">
        <v>18</v>
      </c>
      <c r="L364" s="48" t="s">
        <v>20</v>
      </c>
      <c r="M364" s="48" t="s">
        <v>36</v>
      </c>
      <c r="N364" s="48" t="s">
        <v>18</v>
      </c>
      <c r="O364" s="48" t="s">
        <v>24</v>
      </c>
      <c r="P364" s="48" t="s">
        <v>22</v>
      </c>
      <c r="Q364" s="48" t="s">
        <v>38</v>
      </c>
      <c r="R364" s="157"/>
      <c r="S364" s="56" t="s">
        <v>0</v>
      </c>
      <c r="T364" s="1">
        <v>174.6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3">
        <f t="shared" si="102"/>
        <v>174.6</v>
      </c>
      <c r="AB364" s="52">
        <v>2018</v>
      </c>
      <c r="AC364" s="9"/>
      <c r="AD364" s="88"/>
      <c r="AE364" s="88"/>
    </row>
    <row r="365" spans="1:31" ht="30.6" hidden="1" customHeight="1" x14ac:dyDescent="0.2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69" t="s">
        <v>194</v>
      </c>
      <c r="S365" s="73" t="s">
        <v>160</v>
      </c>
      <c r="T365" s="3">
        <v>49.7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6">
        <f t="shared" si="102"/>
        <v>49.7</v>
      </c>
      <c r="AB365" s="37">
        <v>2018</v>
      </c>
      <c r="AC365" s="9"/>
      <c r="AD365" s="88"/>
      <c r="AE365" s="88"/>
    </row>
    <row r="366" spans="1:31" ht="15.6" hidden="1" customHeight="1" x14ac:dyDescent="0.25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157" t="s">
        <v>195</v>
      </c>
      <c r="S366" s="56" t="s">
        <v>0</v>
      </c>
      <c r="T366" s="1">
        <f>SUM(T367:T369)</f>
        <v>508.5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3">
        <f t="shared" si="102"/>
        <v>508.5</v>
      </c>
      <c r="AB366" s="52">
        <v>2018</v>
      </c>
      <c r="AC366" s="9"/>
      <c r="AD366" s="88"/>
      <c r="AE366" s="88"/>
    </row>
    <row r="367" spans="1:31" ht="15.6" hidden="1" customHeight="1" x14ac:dyDescent="0.25">
      <c r="A367" s="48" t="s">
        <v>18</v>
      </c>
      <c r="B367" s="48" t="s">
        <v>18</v>
      </c>
      <c r="C367" s="48" t="s">
        <v>24</v>
      </c>
      <c r="D367" s="48" t="s">
        <v>18</v>
      </c>
      <c r="E367" s="48" t="s">
        <v>21</v>
      </c>
      <c r="F367" s="48" t="s">
        <v>18</v>
      </c>
      <c r="G367" s="48" t="s">
        <v>22</v>
      </c>
      <c r="H367" s="48" t="s">
        <v>19</v>
      </c>
      <c r="I367" s="48" t="s">
        <v>24</v>
      </c>
      <c r="J367" s="48" t="s">
        <v>18</v>
      </c>
      <c r="K367" s="48" t="s">
        <v>18</v>
      </c>
      <c r="L367" s="48" t="s">
        <v>20</v>
      </c>
      <c r="M367" s="48" t="s">
        <v>19</v>
      </c>
      <c r="N367" s="48" t="s">
        <v>18</v>
      </c>
      <c r="O367" s="48" t="s">
        <v>24</v>
      </c>
      <c r="P367" s="48" t="s">
        <v>22</v>
      </c>
      <c r="Q367" s="48" t="s">
        <v>43</v>
      </c>
      <c r="R367" s="157"/>
      <c r="S367" s="56" t="s">
        <v>0</v>
      </c>
      <c r="T367" s="1">
        <v>203.4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3">
        <f t="shared" si="102"/>
        <v>203.4</v>
      </c>
      <c r="AB367" s="52">
        <v>2018</v>
      </c>
      <c r="AC367" s="9"/>
      <c r="AD367" s="88"/>
      <c r="AE367" s="88"/>
    </row>
    <row r="368" spans="1:31" ht="15.6" hidden="1" customHeight="1" x14ac:dyDescent="0.25">
      <c r="A368" s="48" t="s">
        <v>18</v>
      </c>
      <c r="B368" s="48" t="s">
        <v>18</v>
      </c>
      <c r="C368" s="48" t="s">
        <v>24</v>
      </c>
      <c r="D368" s="48" t="s">
        <v>18</v>
      </c>
      <c r="E368" s="48" t="s">
        <v>21</v>
      </c>
      <c r="F368" s="48" t="s">
        <v>18</v>
      </c>
      <c r="G368" s="48" t="s">
        <v>22</v>
      </c>
      <c r="H368" s="48" t="s">
        <v>19</v>
      </c>
      <c r="I368" s="48" t="s">
        <v>24</v>
      </c>
      <c r="J368" s="48" t="s">
        <v>18</v>
      </c>
      <c r="K368" s="48" t="s">
        <v>18</v>
      </c>
      <c r="L368" s="48" t="s">
        <v>20</v>
      </c>
      <c r="M368" s="48" t="s">
        <v>36</v>
      </c>
      <c r="N368" s="48" t="s">
        <v>18</v>
      </c>
      <c r="O368" s="48" t="s">
        <v>24</v>
      </c>
      <c r="P368" s="48" t="s">
        <v>22</v>
      </c>
      <c r="Q368" s="48" t="s">
        <v>44</v>
      </c>
      <c r="R368" s="157"/>
      <c r="S368" s="56" t="s">
        <v>0</v>
      </c>
      <c r="T368" s="1">
        <v>50.9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3">
        <f t="shared" si="102"/>
        <v>50.9</v>
      </c>
      <c r="AB368" s="52">
        <v>2018</v>
      </c>
      <c r="AC368" s="9"/>
      <c r="AD368" s="88"/>
      <c r="AE368" s="88"/>
    </row>
    <row r="369" spans="1:31" ht="15.6" hidden="1" customHeight="1" x14ac:dyDescent="0.25">
      <c r="A369" s="48" t="s">
        <v>18</v>
      </c>
      <c r="B369" s="48" t="s">
        <v>18</v>
      </c>
      <c r="C369" s="48" t="s">
        <v>24</v>
      </c>
      <c r="D369" s="48" t="s">
        <v>18</v>
      </c>
      <c r="E369" s="48" t="s">
        <v>21</v>
      </c>
      <c r="F369" s="48" t="s">
        <v>18</v>
      </c>
      <c r="G369" s="48" t="s">
        <v>22</v>
      </c>
      <c r="H369" s="48" t="s">
        <v>19</v>
      </c>
      <c r="I369" s="48" t="s">
        <v>24</v>
      </c>
      <c r="J369" s="48" t="s">
        <v>18</v>
      </c>
      <c r="K369" s="48" t="s">
        <v>18</v>
      </c>
      <c r="L369" s="48" t="s">
        <v>20</v>
      </c>
      <c r="M369" s="48" t="s">
        <v>36</v>
      </c>
      <c r="N369" s="48" t="s">
        <v>18</v>
      </c>
      <c r="O369" s="48" t="s">
        <v>24</v>
      </c>
      <c r="P369" s="48" t="s">
        <v>22</v>
      </c>
      <c r="Q369" s="48" t="s">
        <v>38</v>
      </c>
      <c r="R369" s="157"/>
      <c r="S369" s="56" t="s">
        <v>0</v>
      </c>
      <c r="T369" s="1">
        <v>254.2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53">
        <f t="shared" si="102"/>
        <v>254.2</v>
      </c>
      <c r="AB369" s="52">
        <v>2018</v>
      </c>
      <c r="AC369" s="9"/>
      <c r="AD369" s="88"/>
      <c r="AE369" s="88"/>
    </row>
    <row r="370" spans="1:31" ht="31.15" hidden="1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69" t="s">
        <v>196</v>
      </c>
      <c r="S370" s="73" t="s">
        <v>160</v>
      </c>
      <c r="T370" s="3">
        <v>88.3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6">
        <f t="shared" si="102"/>
        <v>88.3</v>
      </c>
      <c r="AB370" s="37">
        <v>2018</v>
      </c>
      <c r="AC370" s="9"/>
      <c r="AD370" s="88"/>
      <c r="AE370" s="88"/>
    </row>
    <row r="371" spans="1:31" ht="20.25" customHeight="1" x14ac:dyDescent="0.25">
      <c r="A371" s="48" t="s">
        <v>18</v>
      </c>
      <c r="B371" s="48" t="s">
        <v>18</v>
      </c>
      <c r="C371" s="48" t="s">
        <v>21</v>
      </c>
      <c r="D371" s="48" t="s">
        <v>18</v>
      </c>
      <c r="E371" s="48" t="s">
        <v>18</v>
      </c>
      <c r="F371" s="48" t="s">
        <v>18</v>
      </c>
      <c r="G371" s="48" t="s">
        <v>18</v>
      </c>
      <c r="H371" s="48" t="s">
        <v>19</v>
      </c>
      <c r="I371" s="48" t="s">
        <v>24</v>
      </c>
      <c r="J371" s="48" t="s">
        <v>18</v>
      </c>
      <c r="K371" s="48" t="s">
        <v>18</v>
      </c>
      <c r="L371" s="48" t="s">
        <v>20</v>
      </c>
      <c r="M371" s="48" t="s">
        <v>18</v>
      </c>
      <c r="N371" s="48" t="s">
        <v>18</v>
      </c>
      <c r="O371" s="48" t="s">
        <v>18</v>
      </c>
      <c r="P371" s="48" t="s">
        <v>18</v>
      </c>
      <c r="Q371" s="48" t="s">
        <v>18</v>
      </c>
      <c r="R371" s="163" t="s">
        <v>125</v>
      </c>
      <c r="S371" s="166" t="s">
        <v>0</v>
      </c>
      <c r="T371" s="53">
        <f>SUM(T372:T375)</f>
        <v>8990.0999999999985</v>
      </c>
      <c r="U371" s="53">
        <f>SUM(U372:U378)</f>
        <v>8489.7000000000007</v>
      </c>
      <c r="V371" s="53">
        <v>0</v>
      </c>
      <c r="W371" s="53">
        <f>SUM(W372:W382)</f>
        <v>6534.5</v>
      </c>
      <c r="X371" s="53">
        <f t="shared" ref="X371:Z371" si="103">SUM(X372:X382)</f>
        <v>2060.9</v>
      </c>
      <c r="Y371" s="53">
        <f t="shared" si="103"/>
        <v>5195.7</v>
      </c>
      <c r="Z371" s="53">
        <f t="shared" si="103"/>
        <v>10348</v>
      </c>
      <c r="AA371" s="53">
        <f>SUM(T371:Z371)</f>
        <v>41618.9</v>
      </c>
      <c r="AB371" s="52">
        <v>2023</v>
      </c>
      <c r="AC371" s="111"/>
      <c r="AD371" s="88"/>
      <c r="AE371" s="88"/>
    </row>
    <row r="372" spans="1:31" x14ac:dyDescent="0.25">
      <c r="A372" s="48" t="s">
        <v>18</v>
      </c>
      <c r="B372" s="48" t="s">
        <v>18</v>
      </c>
      <c r="C372" s="48" t="s">
        <v>21</v>
      </c>
      <c r="D372" s="48" t="s">
        <v>18</v>
      </c>
      <c r="E372" s="48" t="s">
        <v>18</v>
      </c>
      <c r="F372" s="48" t="s">
        <v>18</v>
      </c>
      <c r="G372" s="48" t="s">
        <v>18</v>
      </c>
      <c r="H372" s="48" t="s">
        <v>19</v>
      </c>
      <c r="I372" s="48" t="s">
        <v>24</v>
      </c>
      <c r="J372" s="48" t="s">
        <v>18</v>
      </c>
      <c r="K372" s="48" t="s">
        <v>18</v>
      </c>
      <c r="L372" s="48" t="s">
        <v>20</v>
      </c>
      <c r="M372" s="48" t="s">
        <v>19</v>
      </c>
      <c r="N372" s="48" t="s">
        <v>18</v>
      </c>
      <c r="O372" s="48" t="s">
        <v>24</v>
      </c>
      <c r="P372" s="48" t="s">
        <v>22</v>
      </c>
      <c r="Q372" s="48" t="s">
        <v>43</v>
      </c>
      <c r="R372" s="164"/>
      <c r="S372" s="167"/>
      <c r="T372" s="1">
        <f>T386+T392+T399+T406+T413+T420+T427+T434+T441+T448+T454+T460</f>
        <v>3538.9999999999995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3">
        <f t="shared" ref="AA372:AA382" si="104">SUM(T372:Z372)</f>
        <v>3538.9999999999995</v>
      </c>
      <c r="AB372" s="52">
        <v>2018</v>
      </c>
      <c r="AC372" s="111"/>
      <c r="AD372" s="88"/>
      <c r="AE372" s="88"/>
    </row>
    <row r="373" spans="1:31" x14ac:dyDescent="0.25">
      <c r="A373" s="48" t="s">
        <v>18</v>
      </c>
      <c r="B373" s="48" t="s">
        <v>18</v>
      </c>
      <c r="C373" s="48" t="s">
        <v>21</v>
      </c>
      <c r="D373" s="48" t="s">
        <v>18</v>
      </c>
      <c r="E373" s="48" t="s">
        <v>18</v>
      </c>
      <c r="F373" s="48" t="s">
        <v>18</v>
      </c>
      <c r="G373" s="48" t="s">
        <v>18</v>
      </c>
      <c r="H373" s="48" t="s">
        <v>19</v>
      </c>
      <c r="I373" s="48" t="s">
        <v>24</v>
      </c>
      <c r="J373" s="48" t="s">
        <v>18</v>
      </c>
      <c r="K373" s="48" t="s">
        <v>18</v>
      </c>
      <c r="L373" s="48" t="s">
        <v>20</v>
      </c>
      <c r="M373" s="48" t="s">
        <v>19</v>
      </c>
      <c r="N373" s="48" t="s">
        <v>18</v>
      </c>
      <c r="O373" s="48" t="s">
        <v>42</v>
      </c>
      <c r="P373" s="48" t="s">
        <v>22</v>
      </c>
      <c r="Q373" s="48" t="s">
        <v>162</v>
      </c>
      <c r="R373" s="164"/>
      <c r="S373" s="167"/>
      <c r="T373" s="1">
        <v>339.9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3">
        <f t="shared" si="104"/>
        <v>339.9</v>
      </c>
      <c r="AB373" s="52">
        <v>2018</v>
      </c>
      <c r="AC373" s="111"/>
      <c r="AD373" s="88"/>
      <c r="AE373" s="88"/>
    </row>
    <row r="374" spans="1:31" x14ac:dyDescent="0.25">
      <c r="A374" s="48" t="s">
        <v>18</v>
      </c>
      <c r="B374" s="48" t="s">
        <v>18</v>
      </c>
      <c r="C374" s="48" t="s">
        <v>21</v>
      </c>
      <c r="D374" s="48" t="s">
        <v>18</v>
      </c>
      <c r="E374" s="48" t="s">
        <v>18</v>
      </c>
      <c r="F374" s="48" t="s">
        <v>18</v>
      </c>
      <c r="G374" s="48" t="s">
        <v>18</v>
      </c>
      <c r="H374" s="48" t="s">
        <v>19</v>
      </c>
      <c r="I374" s="48" t="s">
        <v>24</v>
      </c>
      <c r="J374" s="48" t="s">
        <v>18</v>
      </c>
      <c r="K374" s="48" t="s">
        <v>18</v>
      </c>
      <c r="L374" s="48" t="s">
        <v>20</v>
      </c>
      <c r="M374" s="48" t="s">
        <v>36</v>
      </c>
      <c r="N374" s="48" t="s">
        <v>18</v>
      </c>
      <c r="O374" s="48" t="s">
        <v>24</v>
      </c>
      <c r="P374" s="48" t="s">
        <v>22</v>
      </c>
      <c r="Q374" s="48" t="s">
        <v>44</v>
      </c>
      <c r="R374" s="164"/>
      <c r="S374" s="167"/>
      <c r="T374" s="1">
        <f>T387+T388+T394+T395+T401+T402+T408+T409+T415+T416+T422+T423+T429+T430+T436+T437+T443+T444+T450+T456+T463+T462</f>
        <v>1913.5</v>
      </c>
      <c r="U374" s="1">
        <v>1308.8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3">
        <f t="shared" si="104"/>
        <v>3222.3</v>
      </c>
      <c r="AB374" s="52">
        <v>2019</v>
      </c>
      <c r="AC374" s="111"/>
      <c r="AD374" s="88"/>
      <c r="AE374" s="88"/>
    </row>
    <row r="375" spans="1:31" x14ac:dyDescent="0.25">
      <c r="A375" s="48" t="s">
        <v>18</v>
      </c>
      <c r="B375" s="48" t="s">
        <v>18</v>
      </c>
      <c r="C375" s="48" t="s">
        <v>21</v>
      </c>
      <c r="D375" s="48" t="s">
        <v>18</v>
      </c>
      <c r="E375" s="48" t="s">
        <v>18</v>
      </c>
      <c r="F375" s="48" t="s">
        <v>18</v>
      </c>
      <c r="G375" s="48" t="s">
        <v>18</v>
      </c>
      <c r="H375" s="48" t="s">
        <v>19</v>
      </c>
      <c r="I375" s="48" t="s">
        <v>24</v>
      </c>
      <c r="J375" s="48" t="s">
        <v>18</v>
      </c>
      <c r="K375" s="48" t="s">
        <v>18</v>
      </c>
      <c r="L375" s="48" t="s">
        <v>20</v>
      </c>
      <c r="M375" s="48" t="s">
        <v>36</v>
      </c>
      <c r="N375" s="48" t="s">
        <v>18</v>
      </c>
      <c r="O375" s="48" t="s">
        <v>24</v>
      </c>
      <c r="P375" s="48" t="s">
        <v>22</v>
      </c>
      <c r="Q375" s="48" t="s">
        <v>38</v>
      </c>
      <c r="R375" s="164"/>
      <c r="S375" s="167"/>
      <c r="T375" s="1">
        <v>3197.7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3">
        <f t="shared" si="104"/>
        <v>3197.7</v>
      </c>
      <c r="AB375" s="52">
        <v>2018</v>
      </c>
      <c r="AC375" s="111"/>
      <c r="AD375" s="88"/>
      <c r="AE375" s="88"/>
    </row>
    <row r="376" spans="1:31" x14ac:dyDescent="0.25">
      <c r="A376" s="48" t="s">
        <v>18</v>
      </c>
      <c r="B376" s="48" t="s">
        <v>18</v>
      </c>
      <c r="C376" s="48" t="s">
        <v>21</v>
      </c>
      <c r="D376" s="48" t="s">
        <v>18</v>
      </c>
      <c r="E376" s="48" t="s">
        <v>18</v>
      </c>
      <c r="F376" s="48" t="s">
        <v>18</v>
      </c>
      <c r="G376" s="48" t="s">
        <v>18</v>
      </c>
      <c r="H376" s="48" t="s">
        <v>19</v>
      </c>
      <c r="I376" s="48" t="s">
        <v>24</v>
      </c>
      <c r="J376" s="48" t="s">
        <v>18</v>
      </c>
      <c r="K376" s="48" t="s">
        <v>18</v>
      </c>
      <c r="L376" s="48" t="s">
        <v>20</v>
      </c>
      <c r="M376" s="48" t="s">
        <v>19</v>
      </c>
      <c r="N376" s="48" t="s">
        <v>18</v>
      </c>
      <c r="O376" s="48" t="s">
        <v>24</v>
      </c>
      <c r="P376" s="48" t="s">
        <v>22</v>
      </c>
      <c r="Q376" s="48" t="s">
        <v>18</v>
      </c>
      <c r="R376" s="164"/>
      <c r="S376" s="167"/>
      <c r="T376" s="1">
        <v>0</v>
      </c>
      <c r="U376" s="1">
        <f>4114.8-123.3</f>
        <v>3991.5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53">
        <f t="shared" si="104"/>
        <v>3991.5</v>
      </c>
      <c r="AB376" s="52">
        <v>2019</v>
      </c>
      <c r="AC376" s="111"/>
      <c r="AD376" s="88"/>
      <c r="AE376" s="88"/>
    </row>
    <row r="377" spans="1:31" x14ac:dyDescent="0.25">
      <c r="A377" s="48" t="s">
        <v>18</v>
      </c>
      <c r="B377" s="48" t="s">
        <v>18</v>
      </c>
      <c r="C377" s="48" t="s">
        <v>21</v>
      </c>
      <c r="D377" s="48" t="s">
        <v>18</v>
      </c>
      <c r="E377" s="48" t="s">
        <v>18</v>
      </c>
      <c r="F377" s="48" t="s">
        <v>18</v>
      </c>
      <c r="G377" s="48" t="s">
        <v>18</v>
      </c>
      <c r="H377" s="48" t="s">
        <v>19</v>
      </c>
      <c r="I377" s="48" t="s">
        <v>24</v>
      </c>
      <c r="J377" s="48" t="s">
        <v>18</v>
      </c>
      <c r="K377" s="48" t="s">
        <v>18</v>
      </c>
      <c r="L377" s="48" t="s">
        <v>20</v>
      </c>
      <c r="M377" s="48" t="s">
        <v>36</v>
      </c>
      <c r="N377" s="48" t="s">
        <v>18</v>
      </c>
      <c r="O377" s="48" t="s">
        <v>24</v>
      </c>
      <c r="P377" s="48" t="s">
        <v>22</v>
      </c>
      <c r="Q377" s="48" t="s">
        <v>18</v>
      </c>
      <c r="R377" s="164"/>
      <c r="S377" s="167"/>
      <c r="T377" s="1">
        <v>0</v>
      </c>
      <c r="U377" s="1">
        <f>3035.2-53.3</f>
        <v>2981.8999999999996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53">
        <f t="shared" si="104"/>
        <v>2981.8999999999996</v>
      </c>
      <c r="AB377" s="52">
        <v>2019</v>
      </c>
      <c r="AC377" s="111"/>
      <c r="AD377" s="88"/>
      <c r="AE377" s="88"/>
    </row>
    <row r="378" spans="1:31" x14ac:dyDescent="0.25">
      <c r="A378" s="48" t="s">
        <v>18</v>
      </c>
      <c r="B378" s="48" t="s">
        <v>18</v>
      </c>
      <c r="C378" s="48" t="s">
        <v>21</v>
      </c>
      <c r="D378" s="48" t="s">
        <v>18</v>
      </c>
      <c r="E378" s="48" t="s">
        <v>18</v>
      </c>
      <c r="F378" s="48" t="s">
        <v>18</v>
      </c>
      <c r="G378" s="48" t="s">
        <v>18</v>
      </c>
      <c r="H378" s="48" t="s">
        <v>19</v>
      </c>
      <c r="I378" s="48" t="s">
        <v>24</v>
      </c>
      <c r="J378" s="48" t="s">
        <v>18</v>
      </c>
      <c r="K378" s="48" t="s">
        <v>18</v>
      </c>
      <c r="L378" s="48" t="s">
        <v>20</v>
      </c>
      <c r="M378" s="48" t="s">
        <v>19</v>
      </c>
      <c r="N378" s="48" t="s">
        <v>18</v>
      </c>
      <c r="O378" s="48" t="s">
        <v>42</v>
      </c>
      <c r="P378" s="48" t="s">
        <v>22</v>
      </c>
      <c r="Q378" s="48" t="s">
        <v>18</v>
      </c>
      <c r="R378" s="164"/>
      <c r="S378" s="167"/>
      <c r="T378" s="1">
        <v>0</v>
      </c>
      <c r="U378" s="1">
        <f>215-7.5</f>
        <v>207.5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3">
        <f t="shared" si="104"/>
        <v>207.5</v>
      </c>
      <c r="AB378" s="52">
        <v>2019</v>
      </c>
      <c r="AC378" s="111"/>
      <c r="AD378" s="88"/>
      <c r="AE378" s="88"/>
    </row>
    <row r="379" spans="1:31" x14ac:dyDescent="0.25">
      <c r="A379" s="48" t="s">
        <v>18</v>
      </c>
      <c r="B379" s="48" t="s">
        <v>18</v>
      </c>
      <c r="C379" s="48" t="s">
        <v>21</v>
      </c>
      <c r="D379" s="48" t="s">
        <v>18</v>
      </c>
      <c r="E379" s="48" t="s">
        <v>18</v>
      </c>
      <c r="F379" s="48" t="s">
        <v>18</v>
      </c>
      <c r="G379" s="48" t="s">
        <v>18</v>
      </c>
      <c r="H379" s="48" t="s">
        <v>19</v>
      </c>
      <c r="I379" s="48" t="s">
        <v>24</v>
      </c>
      <c r="J379" s="48" t="s">
        <v>18</v>
      </c>
      <c r="K379" s="48" t="s">
        <v>18</v>
      </c>
      <c r="L379" s="48" t="s">
        <v>20</v>
      </c>
      <c r="M379" s="48" t="s">
        <v>36</v>
      </c>
      <c r="N379" s="48" t="s">
        <v>42</v>
      </c>
      <c r="O379" s="48" t="s">
        <v>18</v>
      </c>
      <c r="P379" s="48" t="s">
        <v>18</v>
      </c>
      <c r="Q379" s="48" t="s">
        <v>18</v>
      </c>
      <c r="R379" s="164"/>
      <c r="S379" s="167"/>
      <c r="T379" s="1">
        <v>0</v>
      </c>
      <c r="U379" s="1">
        <v>0</v>
      </c>
      <c r="V379" s="1">
        <v>0</v>
      </c>
      <c r="W379" s="1">
        <f>1891+153</f>
        <v>2044</v>
      </c>
      <c r="X379" s="1">
        <f>987.7+37-1.2</f>
        <v>1023.5</v>
      </c>
      <c r="Y379" s="1">
        <v>1208.0999999999999</v>
      </c>
      <c r="Z379" s="1">
        <v>1341.9</v>
      </c>
      <c r="AA379" s="53">
        <f t="shared" si="104"/>
        <v>5617.5</v>
      </c>
      <c r="AB379" s="52">
        <v>2024</v>
      </c>
      <c r="AC379" s="111"/>
      <c r="AD379" s="88"/>
      <c r="AE379" s="88"/>
    </row>
    <row r="380" spans="1:31" x14ac:dyDescent="0.25">
      <c r="A380" s="48" t="s">
        <v>18</v>
      </c>
      <c r="B380" s="48" t="s">
        <v>18</v>
      </c>
      <c r="C380" s="48" t="s">
        <v>21</v>
      </c>
      <c r="D380" s="48" t="s">
        <v>18</v>
      </c>
      <c r="E380" s="48" t="s">
        <v>18</v>
      </c>
      <c r="F380" s="48" t="s">
        <v>18</v>
      </c>
      <c r="G380" s="48" t="s">
        <v>18</v>
      </c>
      <c r="H380" s="48" t="s">
        <v>19</v>
      </c>
      <c r="I380" s="48" t="s">
        <v>24</v>
      </c>
      <c r="J380" s="48" t="s">
        <v>18</v>
      </c>
      <c r="K380" s="48" t="s">
        <v>18</v>
      </c>
      <c r="L380" s="48" t="s">
        <v>20</v>
      </c>
      <c r="M380" s="48" t="s">
        <v>19</v>
      </c>
      <c r="N380" s="48" t="s">
        <v>42</v>
      </c>
      <c r="O380" s="48" t="s">
        <v>18</v>
      </c>
      <c r="P380" s="48" t="s">
        <v>18</v>
      </c>
      <c r="Q380" s="48" t="s">
        <v>18</v>
      </c>
      <c r="R380" s="164"/>
      <c r="S380" s="167"/>
      <c r="T380" s="1">
        <v>0</v>
      </c>
      <c r="U380" s="1">
        <v>0</v>
      </c>
      <c r="V380" s="1">
        <v>0</v>
      </c>
      <c r="W380" s="1">
        <v>3135.4</v>
      </c>
      <c r="X380" s="1">
        <v>600</v>
      </c>
      <c r="Y380" s="1">
        <f>2757.2-275.2</f>
        <v>2482</v>
      </c>
      <c r="Z380" s="1">
        <v>6066.1</v>
      </c>
      <c r="AA380" s="53">
        <f t="shared" si="104"/>
        <v>12283.5</v>
      </c>
      <c r="AB380" s="52">
        <v>2024</v>
      </c>
      <c r="AC380" s="111"/>
      <c r="AD380" s="88"/>
      <c r="AE380" s="88"/>
    </row>
    <row r="381" spans="1:31" x14ac:dyDescent="0.25">
      <c r="A381" s="48" t="s">
        <v>18</v>
      </c>
      <c r="B381" s="48" t="s">
        <v>18</v>
      </c>
      <c r="C381" s="48" t="s">
        <v>21</v>
      </c>
      <c r="D381" s="48" t="s">
        <v>18</v>
      </c>
      <c r="E381" s="48" t="s">
        <v>18</v>
      </c>
      <c r="F381" s="48" t="s">
        <v>18</v>
      </c>
      <c r="G381" s="48" t="s">
        <v>18</v>
      </c>
      <c r="H381" s="48" t="s">
        <v>19</v>
      </c>
      <c r="I381" s="48" t="s">
        <v>24</v>
      </c>
      <c r="J381" s="48" t="s">
        <v>18</v>
      </c>
      <c r="K381" s="48" t="s">
        <v>18</v>
      </c>
      <c r="L381" s="48" t="s">
        <v>20</v>
      </c>
      <c r="M381" s="48" t="s">
        <v>36</v>
      </c>
      <c r="N381" s="48" t="s">
        <v>42</v>
      </c>
      <c r="O381" s="48" t="s">
        <v>44</v>
      </c>
      <c r="P381" s="48" t="s">
        <v>18</v>
      </c>
      <c r="Q381" s="48" t="s">
        <v>18</v>
      </c>
      <c r="R381" s="164"/>
      <c r="S381" s="167"/>
      <c r="T381" s="1">
        <v>0</v>
      </c>
      <c r="U381" s="1">
        <v>0</v>
      </c>
      <c r="V381" s="1">
        <v>0</v>
      </c>
      <c r="W381" s="1">
        <v>1195.0999999999999</v>
      </c>
      <c r="X381" s="1">
        <v>437.4</v>
      </c>
      <c r="Y381" s="1">
        <v>1423.4</v>
      </c>
      <c r="Z381" s="1">
        <v>2740</v>
      </c>
      <c r="AA381" s="53">
        <f t="shared" si="104"/>
        <v>5795.9</v>
      </c>
      <c r="AB381" s="52">
        <v>2024</v>
      </c>
      <c r="AC381" s="111"/>
      <c r="AD381" s="88"/>
      <c r="AE381" s="88"/>
    </row>
    <row r="382" spans="1:31" x14ac:dyDescent="0.25">
      <c r="A382" s="48" t="s">
        <v>18</v>
      </c>
      <c r="B382" s="48" t="s">
        <v>18</v>
      </c>
      <c r="C382" s="48" t="s">
        <v>21</v>
      </c>
      <c r="D382" s="48" t="s">
        <v>18</v>
      </c>
      <c r="E382" s="48" t="s">
        <v>18</v>
      </c>
      <c r="F382" s="48" t="s">
        <v>18</v>
      </c>
      <c r="G382" s="48" t="s">
        <v>18</v>
      </c>
      <c r="H382" s="48" t="s">
        <v>19</v>
      </c>
      <c r="I382" s="48" t="s">
        <v>24</v>
      </c>
      <c r="J382" s="48" t="s">
        <v>18</v>
      </c>
      <c r="K382" s="48" t="s">
        <v>18</v>
      </c>
      <c r="L382" s="48" t="s">
        <v>20</v>
      </c>
      <c r="M382" s="48" t="s">
        <v>19</v>
      </c>
      <c r="N382" s="48" t="s">
        <v>42</v>
      </c>
      <c r="O382" s="48" t="s">
        <v>22</v>
      </c>
      <c r="P382" s="48" t="s">
        <v>18</v>
      </c>
      <c r="Q382" s="48" t="s">
        <v>18</v>
      </c>
      <c r="R382" s="165"/>
      <c r="S382" s="168"/>
      <c r="T382" s="1">
        <v>0</v>
      </c>
      <c r="U382" s="1">
        <v>0</v>
      </c>
      <c r="V382" s="1">
        <v>0</v>
      </c>
      <c r="W382" s="1">
        <v>160</v>
      </c>
      <c r="X382" s="1">
        <v>0</v>
      </c>
      <c r="Y382" s="1">
        <f>90-7.8</f>
        <v>82.2</v>
      </c>
      <c r="Z382" s="1">
        <v>200</v>
      </c>
      <c r="AA382" s="53">
        <f t="shared" si="104"/>
        <v>442.2</v>
      </c>
      <c r="AB382" s="52">
        <v>2024</v>
      </c>
      <c r="AC382" s="111"/>
      <c r="AD382" s="88"/>
      <c r="AE382" s="88"/>
    </row>
    <row r="383" spans="1:31" ht="31.5" x14ac:dyDescent="0.2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69" t="s">
        <v>271</v>
      </c>
      <c r="S383" s="55" t="s">
        <v>50</v>
      </c>
      <c r="T383" s="3">
        <v>2.7</v>
      </c>
      <c r="U383" s="3">
        <v>1</v>
      </c>
      <c r="V383" s="3">
        <v>0</v>
      </c>
      <c r="W383" s="3">
        <v>2.2000000000000002</v>
      </c>
      <c r="X383" s="3">
        <v>0.8</v>
      </c>
      <c r="Y383" s="3">
        <v>1.7</v>
      </c>
      <c r="Z383" s="3">
        <v>3.5</v>
      </c>
      <c r="AA383" s="6">
        <f t="shared" si="102"/>
        <v>8.4</v>
      </c>
      <c r="AB383" s="37">
        <v>2024</v>
      </c>
      <c r="AC383" s="9"/>
      <c r="AD383" s="88"/>
      <c r="AE383" s="88"/>
    </row>
    <row r="384" spans="1:31" ht="31.5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69" t="s">
        <v>272</v>
      </c>
      <c r="S384" s="73" t="s">
        <v>48</v>
      </c>
      <c r="T384" s="40">
        <v>11</v>
      </c>
      <c r="U384" s="40">
        <v>6</v>
      </c>
      <c r="V384" s="40">
        <v>0</v>
      </c>
      <c r="W384" s="40">
        <v>4</v>
      </c>
      <c r="X384" s="40">
        <v>1</v>
      </c>
      <c r="Y384" s="40">
        <v>2</v>
      </c>
      <c r="Z384" s="40">
        <v>4</v>
      </c>
      <c r="AA384" s="43">
        <f t="shared" si="102"/>
        <v>24</v>
      </c>
      <c r="AB384" s="37">
        <v>2024</v>
      </c>
      <c r="AC384" s="9"/>
      <c r="AD384" s="88"/>
      <c r="AE384" s="88"/>
    </row>
    <row r="385" spans="1:31" ht="15.6" hidden="1" customHeight="1" x14ac:dyDescent="0.25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157" t="s">
        <v>197</v>
      </c>
      <c r="S385" s="56" t="s">
        <v>0</v>
      </c>
      <c r="T385" s="1">
        <f>SUM(T386:T389)</f>
        <v>1027.7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3">
        <f t="shared" si="99"/>
        <v>1027.7</v>
      </c>
      <c r="AB385" s="52">
        <v>2018</v>
      </c>
      <c r="AC385" s="9"/>
      <c r="AD385" s="88"/>
      <c r="AE385" s="88"/>
    </row>
    <row r="386" spans="1:31" ht="15.6" hidden="1" customHeight="1" x14ac:dyDescent="0.25">
      <c r="A386" s="48" t="s">
        <v>18</v>
      </c>
      <c r="B386" s="48" t="s">
        <v>18</v>
      </c>
      <c r="C386" s="48" t="s">
        <v>21</v>
      </c>
      <c r="D386" s="48" t="s">
        <v>18</v>
      </c>
      <c r="E386" s="48" t="s">
        <v>21</v>
      </c>
      <c r="F386" s="48" t="s">
        <v>18</v>
      </c>
      <c r="G386" s="48" t="s">
        <v>22</v>
      </c>
      <c r="H386" s="48" t="s">
        <v>19</v>
      </c>
      <c r="I386" s="48" t="s">
        <v>24</v>
      </c>
      <c r="J386" s="48" t="s">
        <v>18</v>
      </c>
      <c r="K386" s="48" t="s">
        <v>18</v>
      </c>
      <c r="L386" s="48" t="s">
        <v>20</v>
      </c>
      <c r="M386" s="48" t="s">
        <v>19</v>
      </c>
      <c r="N386" s="48" t="s">
        <v>18</v>
      </c>
      <c r="O386" s="48" t="s">
        <v>24</v>
      </c>
      <c r="P386" s="48" t="s">
        <v>22</v>
      </c>
      <c r="Q386" s="48" t="s">
        <v>43</v>
      </c>
      <c r="R386" s="157"/>
      <c r="S386" s="56" t="s">
        <v>0</v>
      </c>
      <c r="T386" s="1">
        <v>400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3">
        <f t="shared" si="99"/>
        <v>400</v>
      </c>
      <c r="AB386" s="52">
        <v>2018</v>
      </c>
      <c r="AC386" s="9"/>
      <c r="AD386" s="88"/>
      <c r="AE386" s="88"/>
    </row>
    <row r="387" spans="1:31" ht="15.6" hidden="1" customHeight="1" x14ac:dyDescent="0.25">
      <c r="A387" s="48" t="s">
        <v>18</v>
      </c>
      <c r="B387" s="48" t="s">
        <v>18</v>
      </c>
      <c r="C387" s="48" t="s">
        <v>21</v>
      </c>
      <c r="D387" s="48" t="s">
        <v>18</v>
      </c>
      <c r="E387" s="48" t="s">
        <v>21</v>
      </c>
      <c r="F387" s="48" t="s">
        <v>18</v>
      </c>
      <c r="G387" s="48" t="s">
        <v>22</v>
      </c>
      <c r="H387" s="48" t="s">
        <v>19</v>
      </c>
      <c r="I387" s="48" t="s">
        <v>24</v>
      </c>
      <c r="J387" s="48" t="s">
        <v>18</v>
      </c>
      <c r="K387" s="48" t="s">
        <v>18</v>
      </c>
      <c r="L387" s="48" t="s">
        <v>20</v>
      </c>
      <c r="M387" s="48" t="s">
        <v>36</v>
      </c>
      <c r="N387" s="48" t="s">
        <v>18</v>
      </c>
      <c r="O387" s="48" t="s">
        <v>24</v>
      </c>
      <c r="P387" s="48" t="s">
        <v>22</v>
      </c>
      <c r="Q387" s="48" t="s">
        <v>44</v>
      </c>
      <c r="R387" s="157"/>
      <c r="S387" s="56" t="s">
        <v>0</v>
      </c>
      <c r="T387" s="1">
        <v>14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3">
        <f t="shared" si="99"/>
        <v>14</v>
      </c>
      <c r="AB387" s="52">
        <v>2018</v>
      </c>
      <c r="AC387" s="9"/>
      <c r="AD387" s="88"/>
      <c r="AE387" s="88"/>
    </row>
    <row r="388" spans="1:31" ht="15.6" hidden="1" customHeight="1" x14ac:dyDescent="0.25">
      <c r="A388" s="48" t="s">
        <v>18</v>
      </c>
      <c r="B388" s="48" t="s">
        <v>18</v>
      </c>
      <c r="C388" s="48" t="s">
        <v>21</v>
      </c>
      <c r="D388" s="48" t="s">
        <v>18</v>
      </c>
      <c r="E388" s="48" t="s">
        <v>21</v>
      </c>
      <c r="F388" s="48" t="s">
        <v>18</v>
      </c>
      <c r="G388" s="48" t="s">
        <v>22</v>
      </c>
      <c r="H388" s="48" t="s">
        <v>19</v>
      </c>
      <c r="I388" s="48" t="s">
        <v>24</v>
      </c>
      <c r="J388" s="48" t="s">
        <v>18</v>
      </c>
      <c r="K388" s="48" t="s">
        <v>18</v>
      </c>
      <c r="L388" s="48" t="s">
        <v>20</v>
      </c>
      <c r="M388" s="48" t="s">
        <v>36</v>
      </c>
      <c r="N388" s="48" t="s">
        <v>18</v>
      </c>
      <c r="O388" s="48" t="s">
        <v>24</v>
      </c>
      <c r="P388" s="48" t="s">
        <v>22</v>
      </c>
      <c r="Q388" s="48" t="s">
        <v>44</v>
      </c>
      <c r="R388" s="157"/>
      <c r="S388" s="56" t="s">
        <v>0</v>
      </c>
      <c r="T388" s="1">
        <v>157.4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3">
        <f t="shared" si="99"/>
        <v>157.4</v>
      </c>
      <c r="AB388" s="52">
        <v>2018</v>
      </c>
      <c r="AC388" s="9"/>
      <c r="AD388" s="88"/>
      <c r="AE388" s="88"/>
    </row>
    <row r="389" spans="1:31" ht="15.6" hidden="1" customHeight="1" x14ac:dyDescent="0.25">
      <c r="A389" s="48" t="s">
        <v>18</v>
      </c>
      <c r="B389" s="48" t="s">
        <v>18</v>
      </c>
      <c r="C389" s="48" t="s">
        <v>21</v>
      </c>
      <c r="D389" s="48" t="s">
        <v>18</v>
      </c>
      <c r="E389" s="48" t="s">
        <v>21</v>
      </c>
      <c r="F389" s="48" t="s">
        <v>18</v>
      </c>
      <c r="G389" s="48" t="s">
        <v>22</v>
      </c>
      <c r="H389" s="48" t="s">
        <v>19</v>
      </c>
      <c r="I389" s="48" t="s">
        <v>24</v>
      </c>
      <c r="J389" s="48" t="s">
        <v>18</v>
      </c>
      <c r="K389" s="48" t="s">
        <v>18</v>
      </c>
      <c r="L389" s="48" t="s">
        <v>20</v>
      </c>
      <c r="M389" s="48" t="s">
        <v>36</v>
      </c>
      <c r="N389" s="48" t="s">
        <v>18</v>
      </c>
      <c r="O389" s="48" t="s">
        <v>24</v>
      </c>
      <c r="P389" s="48" t="s">
        <v>22</v>
      </c>
      <c r="Q389" s="48" t="s">
        <v>38</v>
      </c>
      <c r="R389" s="157"/>
      <c r="S389" s="56" t="s">
        <v>0</v>
      </c>
      <c r="T389" s="1">
        <v>456.3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3">
        <f t="shared" si="99"/>
        <v>456.3</v>
      </c>
      <c r="AB389" s="52">
        <v>2018</v>
      </c>
      <c r="AC389" s="9"/>
      <c r="AD389" s="88"/>
      <c r="AE389" s="88"/>
    </row>
    <row r="390" spans="1:31" ht="51" hidden="1" customHeight="1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69" t="s">
        <v>198</v>
      </c>
      <c r="S390" s="73" t="s">
        <v>159</v>
      </c>
      <c r="T390" s="3">
        <v>754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6">
        <f t="shared" si="99"/>
        <v>754</v>
      </c>
      <c r="AB390" s="37">
        <v>2018</v>
      </c>
      <c r="AC390" s="9"/>
      <c r="AD390" s="88"/>
      <c r="AE390" s="88"/>
    </row>
    <row r="391" spans="1:31" ht="16.149999999999999" hidden="1" customHeight="1" x14ac:dyDescent="0.25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157" t="s">
        <v>199</v>
      </c>
      <c r="S391" s="56" t="s">
        <v>0</v>
      </c>
      <c r="T391" s="1">
        <f>SUM(T392:T396)</f>
        <v>244.8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3">
        <f t="shared" si="99"/>
        <v>244.8</v>
      </c>
      <c r="AB391" s="52">
        <v>2018</v>
      </c>
      <c r="AC391" s="9"/>
      <c r="AD391" s="88"/>
      <c r="AE391" s="88"/>
    </row>
    <row r="392" spans="1:31" ht="16.149999999999999" hidden="1" customHeight="1" x14ac:dyDescent="0.25">
      <c r="A392" s="48" t="s">
        <v>18</v>
      </c>
      <c r="B392" s="48" t="s">
        <v>18</v>
      </c>
      <c r="C392" s="48" t="s">
        <v>21</v>
      </c>
      <c r="D392" s="48" t="s">
        <v>18</v>
      </c>
      <c r="E392" s="48" t="s">
        <v>21</v>
      </c>
      <c r="F392" s="48" t="s">
        <v>18</v>
      </c>
      <c r="G392" s="48" t="s">
        <v>22</v>
      </c>
      <c r="H392" s="48" t="s">
        <v>19</v>
      </c>
      <c r="I392" s="48" t="s">
        <v>24</v>
      </c>
      <c r="J392" s="48" t="s">
        <v>18</v>
      </c>
      <c r="K392" s="48" t="s">
        <v>18</v>
      </c>
      <c r="L392" s="48" t="s">
        <v>20</v>
      </c>
      <c r="M392" s="48" t="s">
        <v>19</v>
      </c>
      <c r="N392" s="48" t="s">
        <v>18</v>
      </c>
      <c r="O392" s="48" t="s">
        <v>24</v>
      </c>
      <c r="P392" s="48" t="s">
        <v>22</v>
      </c>
      <c r="Q392" s="48" t="s">
        <v>43</v>
      </c>
      <c r="R392" s="157"/>
      <c r="S392" s="56" t="s">
        <v>0</v>
      </c>
      <c r="T392" s="1">
        <v>97.9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3">
        <f t="shared" si="99"/>
        <v>97.9</v>
      </c>
      <c r="AB392" s="52">
        <v>2018</v>
      </c>
      <c r="AC392" s="9"/>
      <c r="AD392" s="88"/>
      <c r="AE392" s="88"/>
    </row>
    <row r="393" spans="1:31" ht="16.149999999999999" hidden="1" customHeight="1" x14ac:dyDescent="0.25">
      <c r="A393" s="48" t="s">
        <v>18</v>
      </c>
      <c r="B393" s="48" t="s">
        <v>18</v>
      </c>
      <c r="C393" s="48" t="s">
        <v>21</v>
      </c>
      <c r="D393" s="48" t="s">
        <v>18</v>
      </c>
      <c r="E393" s="48" t="s">
        <v>21</v>
      </c>
      <c r="F393" s="48" t="s">
        <v>18</v>
      </c>
      <c r="G393" s="48" t="s">
        <v>22</v>
      </c>
      <c r="H393" s="48" t="s">
        <v>19</v>
      </c>
      <c r="I393" s="48" t="s">
        <v>24</v>
      </c>
      <c r="J393" s="48" t="s">
        <v>18</v>
      </c>
      <c r="K393" s="48" t="s">
        <v>18</v>
      </c>
      <c r="L393" s="48" t="s">
        <v>20</v>
      </c>
      <c r="M393" s="48" t="s">
        <v>19</v>
      </c>
      <c r="N393" s="48" t="s">
        <v>18</v>
      </c>
      <c r="O393" s="48" t="s">
        <v>42</v>
      </c>
      <c r="P393" s="48" t="s">
        <v>22</v>
      </c>
      <c r="Q393" s="48" t="s">
        <v>162</v>
      </c>
      <c r="R393" s="157"/>
      <c r="S393" s="56" t="s">
        <v>0</v>
      </c>
      <c r="T393" s="1">
        <v>15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3">
        <f t="shared" si="99"/>
        <v>15</v>
      </c>
      <c r="AB393" s="52">
        <v>2018</v>
      </c>
      <c r="AC393" s="9"/>
      <c r="AD393" s="88"/>
      <c r="AE393" s="88"/>
    </row>
    <row r="394" spans="1:31" ht="16.149999999999999" hidden="1" customHeight="1" x14ac:dyDescent="0.25">
      <c r="A394" s="48" t="s">
        <v>18</v>
      </c>
      <c r="B394" s="48" t="s">
        <v>18</v>
      </c>
      <c r="C394" s="48" t="s">
        <v>21</v>
      </c>
      <c r="D394" s="48" t="s">
        <v>18</v>
      </c>
      <c r="E394" s="48" t="s">
        <v>21</v>
      </c>
      <c r="F394" s="48" t="s">
        <v>18</v>
      </c>
      <c r="G394" s="48" t="s">
        <v>22</v>
      </c>
      <c r="H394" s="48" t="s">
        <v>19</v>
      </c>
      <c r="I394" s="48" t="s">
        <v>24</v>
      </c>
      <c r="J394" s="48" t="s">
        <v>18</v>
      </c>
      <c r="K394" s="48" t="s">
        <v>18</v>
      </c>
      <c r="L394" s="48" t="s">
        <v>20</v>
      </c>
      <c r="M394" s="48" t="s">
        <v>36</v>
      </c>
      <c r="N394" s="48" t="s">
        <v>18</v>
      </c>
      <c r="O394" s="48" t="s">
        <v>24</v>
      </c>
      <c r="P394" s="48" t="s">
        <v>22</v>
      </c>
      <c r="Q394" s="48" t="s">
        <v>44</v>
      </c>
      <c r="R394" s="157"/>
      <c r="S394" s="56" t="s">
        <v>0</v>
      </c>
      <c r="T394" s="1">
        <v>4.9000000000000004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3">
        <f t="shared" si="99"/>
        <v>4.9000000000000004</v>
      </c>
      <c r="AB394" s="52">
        <v>2018</v>
      </c>
      <c r="AC394" s="9"/>
      <c r="AD394" s="88"/>
      <c r="AE394" s="88"/>
    </row>
    <row r="395" spans="1:31" ht="16.149999999999999" hidden="1" customHeight="1" x14ac:dyDescent="0.25">
      <c r="A395" s="48" t="s">
        <v>18</v>
      </c>
      <c r="B395" s="48" t="s">
        <v>18</v>
      </c>
      <c r="C395" s="48" t="s">
        <v>21</v>
      </c>
      <c r="D395" s="48" t="s">
        <v>18</v>
      </c>
      <c r="E395" s="48" t="s">
        <v>21</v>
      </c>
      <c r="F395" s="48" t="s">
        <v>18</v>
      </c>
      <c r="G395" s="48" t="s">
        <v>22</v>
      </c>
      <c r="H395" s="48" t="s">
        <v>19</v>
      </c>
      <c r="I395" s="48" t="s">
        <v>24</v>
      </c>
      <c r="J395" s="48" t="s">
        <v>18</v>
      </c>
      <c r="K395" s="48" t="s">
        <v>18</v>
      </c>
      <c r="L395" s="48" t="s">
        <v>20</v>
      </c>
      <c r="M395" s="48" t="s">
        <v>36</v>
      </c>
      <c r="N395" s="48" t="s">
        <v>18</v>
      </c>
      <c r="O395" s="48" t="s">
        <v>24</v>
      </c>
      <c r="P395" s="48" t="s">
        <v>22</v>
      </c>
      <c r="Q395" s="48" t="s">
        <v>44</v>
      </c>
      <c r="R395" s="157"/>
      <c r="S395" s="56" t="s">
        <v>0</v>
      </c>
      <c r="T395" s="1">
        <v>36.700000000000003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3">
        <f t="shared" si="99"/>
        <v>36.700000000000003</v>
      </c>
      <c r="AB395" s="52">
        <v>2018</v>
      </c>
      <c r="AC395" s="9"/>
      <c r="AD395" s="88"/>
      <c r="AE395" s="88"/>
    </row>
    <row r="396" spans="1:31" ht="16.149999999999999" hidden="1" customHeight="1" x14ac:dyDescent="0.25">
      <c r="A396" s="48" t="s">
        <v>18</v>
      </c>
      <c r="B396" s="48" t="s">
        <v>18</v>
      </c>
      <c r="C396" s="48" t="s">
        <v>21</v>
      </c>
      <c r="D396" s="48" t="s">
        <v>18</v>
      </c>
      <c r="E396" s="48" t="s">
        <v>21</v>
      </c>
      <c r="F396" s="48" t="s">
        <v>18</v>
      </c>
      <c r="G396" s="48" t="s">
        <v>22</v>
      </c>
      <c r="H396" s="48" t="s">
        <v>19</v>
      </c>
      <c r="I396" s="48" t="s">
        <v>24</v>
      </c>
      <c r="J396" s="48" t="s">
        <v>18</v>
      </c>
      <c r="K396" s="48" t="s">
        <v>18</v>
      </c>
      <c r="L396" s="48" t="s">
        <v>20</v>
      </c>
      <c r="M396" s="48" t="s">
        <v>36</v>
      </c>
      <c r="N396" s="48" t="s">
        <v>18</v>
      </c>
      <c r="O396" s="48" t="s">
        <v>24</v>
      </c>
      <c r="P396" s="48" t="s">
        <v>22</v>
      </c>
      <c r="Q396" s="48" t="s">
        <v>38</v>
      </c>
      <c r="R396" s="157"/>
      <c r="S396" s="56" t="s">
        <v>0</v>
      </c>
      <c r="T396" s="1">
        <v>90.3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3">
        <f t="shared" si="99"/>
        <v>90.3</v>
      </c>
      <c r="AB396" s="52">
        <v>2018</v>
      </c>
      <c r="AC396" s="9"/>
      <c r="AD396" s="88"/>
      <c r="AE396" s="88"/>
    </row>
    <row r="397" spans="1:31" ht="52.15" hidden="1" customHeight="1" x14ac:dyDescent="0.2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69" t="s">
        <v>200</v>
      </c>
      <c r="S397" s="73" t="s">
        <v>48</v>
      </c>
      <c r="T397" s="40">
        <v>10</v>
      </c>
      <c r="U397" s="40">
        <v>0</v>
      </c>
      <c r="V397" s="40">
        <v>0</v>
      </c>
      <c r="W397" s="40">
        <v>0</v>
      </c>
      <c r="X397" s="40">
        <v>0</v>
      </c>
      <c r="Y397" s="40">
        <v>0</v>
      </c>
      <c r="Z397" s="40">
        <v>0</v>
      </c>
      <c r="AA397" s="43">
        <f t="shared" si="99"/>
        <v>10</v>
      </c>
      <c r="AB397" s="37">
        <v>2018</v>
      </c>
      <c r="AC397" s="9"/>
      <c r="AD397" s="88"/>
      <c r="AE397" s="88"/>
    </row>
    <row r="398" spans="1:31" ht="16.350000000000001" hidden="1" customHeight="1" x14ac:dyDescent="0.25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157" t="s">
        <v>201</v>
      </c>
      <c r="S398" s="56" t="s">
        <v>0</v>
      </c>
      <c r="T398" s="1">
        <f>SUM(T399:T403)</f>
        <v>686.4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3">
        <f t="shared" ref="AA398:AA465" si="105">SUM(T398:Y398)</f>
        <v>686.4</v>
      </c>
      <c r="AB398" s="52">
        <v>2018</v>
      </c>
      <c r="AC398" s="9"/>
      <c r="AD398" s="88"/>
      <c r="AE398" s="88"/>
    </row>
    <row r="399" spans="1:31" ht="16.350000000000001" hidden="1" customHeight="1" x14ac:dyDescent="0.25">
      <c r="A399" s="48" t="s">
        <v>18</v>
      </c>
      <c r="B399" s="48" t="s">
        <v>18</v>
      </c>
      <c r="C399" s="48" t="s">
        <v>21</v>
      </c>
      <c r="D399" s="48" t="s">
        <v>18</v>
      </c>
      <c r="E399" s="48" t="s">
        <v>24</v>
      </c>
      <c r="F399" s="48" t="s">
        <v>18</v>
      </c>
      <c r="G399" s="48" t="s">
        <v>42</v>
      </c>
      <c r="H399" s="48" t="s">
        <v>19</v>
      </c>
      <c r="I399" s="48" t="s">
        <v>24</v>
      </c>
      <c r="J399" s="48" t="s">
        <v>18</v>
      </c>
      <c r="K399" s="48" t="s">
        <v>18</v>
      </c>
      <c r="L399" s="48" t="s">
        <v>20</v>
      </c>
      <c r="M399" s="48" t="s">
        <v>19</v>
      </c>
      <c r="N399" s="48" t="s">
        <v>18</v>
      </c>
      <c r="O399" s="48" t="s">
        <v>24</v>
      </c>
      <c r="P399" s="48" t="s">
        <v>22</v>
      </c>
      <c r="Q399" s="48" t="s">
        <v>43</v>
      </c>
      <c r="R399" s="157"/>
      <c r="S399" s="56" t="s">
        <v>0</v>
      </c>
      <c r="T399" s="1">
        <v>272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3">
        <f t="shared" si="105"/>
        <v>272</v>
      </c>
      <c r="AB399" s="52">
        <v>2018</v>
      </c>
      <c r="AC399" s="9"/>
      <c r="AD399" s="88"/>
      <c r="AE399" s="88"/>
    </row>
    <row r="400" spans="1:31" ht="16.350000000000001" hidden="1" customHeight="1" x14ac:dyDescent="0.25">
      <c r="A400" s="48" t="s">
        <v>18</v>
      </c>
      <c r="B400" s="48" t="s">
        <v>18</v>
      </c>
      <c r="C400" s="48" t="s">
        <v>21</v>
      </c>
      <c r="D400" s="48" t="s">
        <v>18</v>
      </c>
      <c r="E400" s="48" t="s">
        <v>24</v>
      </c>
      <c r="F400" s="48" t="s">
        <v>18</v>
      </c>
      <c r="G400" s="48" t="s">
        <v>42</v>
      </c>
      <c r="H400" s="48" t="s">
        <v>19</v>
      </c>
      <c r="I400" s="48" t="s">
        <v>24</v>
      </c>
      <c r="J400" s="48" t="s">
        <v>18</v>
      </c>
      <c r="K400" s="48" t="s">
        <v>18</v>
      </c>
      <c r="L400" s="48" t="s">
        <v>20</v>
      </c>
      <c r="M400" s="48" t="s">
        <v>19</v>
      </c>
      <c r="N400" s="48" t="s">
        <v>18</v>
      </c>
      <c r="O400" s="48" t="s">
        <v>42</v>
      </c>
      <c r="P400" s="48" t="s">
        <v>22</v>
      </c>
      <c r="Q400" s="48" t="s">
        <v>162</v>
      </c>
      <c r="R400" s="157"/>
      <c r="S400" s="56" t="s">
        <v>0</v>
      </c>
      <c r="T400" s="1">
        <v>30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3">
        <f t="shared" si="105"/>
        <v>30</v>
      </c>
      <c r="AB400" s="52">
        <v>2018</v>
      </c>
      <c r="AC400" s="9"/>
      <c r="AD400" s="88"/>
      <c r="AE400" s="88"/>
    </row>
    <row r="401" spans="1:31" ht="16.350000000000001" hidden="1" customHeight="1" x14ac:dyDescent="0.25">
      <c r="A401" s="48" t="s">
        <v>18</v>
      </c>
      <c r="B401" s="48" t="s">
        <v>18</v>
      </c>
      <c r="C401" s="48" t="s">
        <v>21</v>
      </c>
      <c r="D401" s="48" t="s">
        <v>18</v>
      </c>
      <c r="E401" s="48" t="s">
        <v>24</v>
      </c>
      <c r="F401" s="48" t="s">
        <v>18</v>
      </c>
      <c r="G401" s="48" t="s">
        <v>42</v>
      </c>
      <c r="H401" s="48" t="s">
        <v>19</v>
      </c>
      <c r="I401" s="48" t="s">
        <v>24</v>
      </c>
      <c r="J401" s="48" t="s">
        <v>18</v>
      </c>
      <c r="K401" s="48" t="s">
        <v>18</v>
      </c>
      <c r="L401" s="48" t="s">
        <v>20</v>
      </c>
      <c r="M401" s="48" t="s">
        <v>36</v>
      </c>
      <c r="N401" s="48" t="s">
        <v>18</v>
      </c>
      <c r="O401" s="48" t="s">
        <v>24</v>
      </c>
      <c r="P401" s="48" t="s">
        <v>22</v>
      </c>
      <c r="Q401" s="48" t="s">
        <v>44</v>
      </c>
      <c r="R401" s="157"/>
      <c r="S401" s="56" t="s">
        <v>0</v>
      </c>
      <c r="T401" s="1">
        <v>47.3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3">
        <f t="shared" si="105"/>
        <v>47.3</v>
      </c>
      <c r="AB401" s="52">
        <v>2018</v>
      </c>
      <c r="AC401" s="9"/>
      <c r="AD401" s="88"/>
      <c r="AE401" s="88"/>
    </row>
    <row r="402" spans="1:31" ht="16.350000000000001" hidden="1" customHeight="1" x14ac:dyDescent="0.25">
      <c r="A402" s="48" t="s">
        <v>18</v>
      </c>
      <c r="B402" s="48" t="s">
        <v>18</v>
      </c>
      <c r="C402" s="48" t="s">
        <v>21</v>
      </c>
      <c r="D402" s="48" t="s">
        <v>18</v>
      </c>
      <c r="E402" s="48" t="s">
        <v>24</v>
      </c>
      <c r="F402" s="48" t="s">
        <v>18</v>
      </c>
      <c r="G402" s="48" t="s">
        <v>42</v>
      </c>
      <c r="H402" s="48" t="s">
        <v>19</v>
      </c>
      <c r="I402" s="48" t="s">
        <v>24</v>
      </c>
      <c r="J402" s="48" t="s">
        <v>18</v>
      </c>
      <c r="K402" s="48" t="s">
        <v>18</v>
      </c>
      <c r="L402" s="48" t="s">
        <v>20</v>
      </c>
      <c r="M402" s="48" t="s">
        <v>36</v>
      </c>
      <c r="N402" s="48" t="s">
        <v>18</v>
      </c>
      <c r="O402" s="48" t="s">
        <v>24</v>
      </c>
      <c r="P402" s="48" t="s">
        <v>22</v>
      </c>
      <c r="Q402" s="48" t="s">
        <v>44</v>
      </c>
      <c r="R402" s="157"/>
      <c r="S402" s="56" t="s">
        <v>0</v>
      </c>
      <c r="T402" s="1">
        <v>68.599999999999994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3">
        <f t="shared" si="105"/>
        <v>68.599999999999994</v>
      </c>
      <c r="AB402" s="52">
        <v>2018</v>
      </c>
      <c r="AC402" s="9"/>
      <c r="AD402" s="88"/>
      <c r="AE402" s="88"/>
    </row>
    <row r="403" spans="1:31" ht="16.350000000000001" hidden="1" customHeight="1" x14ac:dyDescent="0.25">
      <c r="A403" s="48" t="s">
        <v>18</v>
      </c>
      <c r="B403" s="48" t="s">
        <v>18</v>
      </c>
      <c r="C403" s="48" t="s">
        <v>21</v>
      </c>
      <c r="D403" s="48" t="s">
        <v>18</v>
      </c>
      <c r="E403" s="48" t="s">
        <v>24</v>
      </c>
      <c r="F403" s="48" t="s">
        <v>18</v>
      </c>
      <c r="G403" s="48" t="s">
        <v>42</v>
      </c>
      <c r="H403" s="48" t="s">
        <v>19</v>
      </c>
      <c r="I403" s="48" t="s">
        <v>24</v>
      </c>
      <c r="J403" s="48" t="s">
        <v>18</v>
      </c>
      <c r="K403" s="48" t="s">
        <v>18</v>
      </c>
      <c r="L403" s="48" t="s">
        <v>20</v>
      </c>
      <c r="M403" s="48" t="s">
        <v>36</v>
      </c>
      <c r="N403" s="48" t="s">
        <v>18</v>
      </c>
      <c r="O403" s="48" t="s">
        <v>24</v>
      </c>
      <c r="P403" s="48" t="s">
        <v>22</v>
      </c>
      <c r="Q403" s="48" t="s">
        <v>38</v>
      </c>
      <c r="R403" s="157"/>
      <c r="S403" s="56" t="s">
        <v>0</v>
      </c>
      <c r="T403" s="1">
        <v>268.5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53">
        <f t="shared" si="105"/>
        <v>268.5</v>
      </c>
      <c r="AB403" s="52">
        <v>2018</v>
      </c>
      <c r="AC403" s="9"/>
      <c r="AD403" s="88"/>
      <c r="AE403" s="88"/>
    </row>
    <row r="404" spans="1:31" ht="53.45" hidden="1" customHeight="1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67" t="s">
        <v>202</v>
      </c>
      <c r="S404" s="73" t="s">
        <v>159</v>
      </c>
      <c r="T404" s="3">
        <v>285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6">
        <f t="shared" si="105"/>
        <v>285</v>
      </c>
      <c r="AB404" s="37">
        <v>2018</v>
      </c>
      <c r="AC404" s="9"/>
      <c r="AD404" s="88"/>
      <c r="AE404" s="88"/>
    </row>
    <row r="405" spans="1:31" ht="16.350000000000001" hidden="1" customHeight="1" x14ac:dyDescent="0.25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157" t="s">
        <v>203</v>
      </c>
      <c r="S405" s="56" t="s">
        <v>0</v>
      </c>
      <c r="T405" s="1">
        <f>SUM(T406:T410)</f>
        <v>657.90000000000009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3">
        <f t="shared" si="105"/>
        <v>657.90000000000009</v>
      </c>
      <c r="AB405" s="52">
        <v>2018</v>
      </c>
      <c r="AC405" s="9"/>
      <c r="AD405" s="88"/>
      <c r="AE405" s="88"/>
    </row>
    <row r="406" spans="1:31" ht="16.350000000000001" hidden="1" customHeight="1" x14ac:dyDescent="0.25">
      <c r="A406" s="48" t="s">
        <v>18</v>
      </c>
      <c r="B406" s="48" t="s">
        <v>18</v>
      </c>
      <c r="C406" s="48" t="s">
        <v>21</v>
      </c>
      <c r="D406" s="48" t="s">
        <v>18</v>
      </c>
      <c r="E406" s="48" t="s">
        <v>21</v>
      </c>
      <c r="F406" s="48" t="s">
        <v>18</v>
      </c>
      <c r="G406" s="48" t="s">
        <v>22</v>
      </c>
      <c r="H406" s="48" t="s">
        <v>19</v>
      </c>
      <c r="I406" s="48" t="s">
        <v>24</v>
      </c>
      <c r="J406" s="48" t="s">
        <v>18</v>
      </c>
      <c r="K406" s="48" t="s">
        <v>18</v>
      </c>
      <c r="L406" s="48" t="s">
        <v>20</v>
      </c>
      <c r="M406" s="48" t="s">
        <v>19</v>
      </c>
      <c r="N406" s="48" t="s">
        <v>18</v>
      </c>
      <c r="O406" s="48" t="s">
        <v>24</v>
      </c>
      <c r="P406" s="48" t="s">
        <v>22</v>
      </c>
      <c r="Q406" s="48" t="s">
        <v>43</v>
      </c>
      <c r="R406" s="157"/>
      <c r="S406" s="56" t="s">
        <v>0</v>
      </c>
      <c r="T406" s="1">
        <v>263.10000000000002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3">
        <f t="shared" si="105"/>
        <v>263.10000000000002</v>
      </c>
      <c r="AB406" s="52">
        <v>2018</v>
      </c>
      <c r="AC406" s="9"/>
      <c r="AD406" s="88"/>
      <c r="AE406" s="88"/>
    </row>
    <row r="407" spans="1:31" ht="16.350000000000001" hidden="1" customHeight="1" x14ac:dyDescent="0.25">
      <c r="A407" s="48" t="s">
        <v>18</v>
      </c>
      <c r="B407" s="48" t="s">
        <v>18</v>
      </c>
      <c r="C407" s="48" t="s">
        <v>21</v>
      </c>
      <c r="D407" s="48" t="s">
        <v>18</v>
      </c>
      <c r="E407" s="48" t="s">
        <v>21</v>
      </c>
      <c r="F407" s="48" t="s">
        <v>18</v>
      </c>
      <c r="G407" s="48" t="s">
        <v>22</v>
      </c>
      <c r="H407" s="48" t="s">
        <v>19</v>
      </c>
      <c r="I407" s="48" t="s">
        <v>24</v>
      </c>
      <c r="J407" s="48" t="s">
        <v>18</v>
      </c>
      <c r="K407" s="48" t="s">
        <v>18</v>
      </c>
      <c r="L407" s="48" t="s">
        <v>20</v>
      </c>
      <c r="M407" s="48" t="s">
        <v>19</v>
      </c>
      <c r="N407" s="48" t="s">
        <v>18</v>
      </c>
      <c r="O407" s="48" t="s">
        <v>42</v>
      </c>
      <c r="P407" s="48" t="s">
        <v>22</v>
      </c>
      <c r="Q407" s="48" t="s">
        <v>162</v>
      </c>
      <c r="R407" s="157"/>
      <c r="S407" s="56" t="s">
        <v>0</v>
      </c>
      <c r="T407" s="1">
        <v>40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3">
        <f>SUM(T407:Y407)</f>
        <v>40</v>
      </c>
      <c r="AB407" s="52">
        <v>2018</v>
      </c>
      <c r="AC407" s="9"/>
      <c r="AD407" s="88"/>
      <c r="AE407" s="88"/>
    </row>
    <row r="408" spans="1:31" ht="16.350000000000001" hidden="1" customHeight="1" x14ac:dyDescent="0.25">
      <c r="A408" s="48" t="s">
        <v>18</v>
      </c>
      <c r="B408" s="48" t="s">
        <v>18</v>
      </c>
      <c r="C408" s="48" t="s">
        <v>21</v>
      </c>
      <c r="D408" s="48" t="s">
        <v>18</v>
      </c>
      <c r="E408" s="48" t="s">
        <v>21</v>
      </c>
      <c r="F408" s="48" t="s">
        <v>18</v>
      </c>
      <c r="G408" s="48" t="s">
        <v>22</v>
      </c>
      <c r="H408" s="48" t="s">
        <v>19</v>
      </c>
      <c r="I408" s="48" t="s">
        <v>24</v>
      </c>
      <c r="J408" s="48" t="s">
        <v>18</v>
      </c>
      <c r="K408" s="48" t="s">
        <v>18</v>
      </c>
      <c r="L408" s="48" t="s">
        <v>20</v>
      </c>
      <c r="M408" s="48" t="s">
        <v>36</v>
      </c>
      <c r="N408" s="48" t="s">
        <v>18</v>
      </c>
      <c r="O408" s="48" t="s">
        <v>24</v>
      </c>
      <c r="P408" s="48" t="s">
        <v>22</v>
      </c>
      <c r="Q408" s="48" t="s">
        <v>44</v>
      </c>
      <c r="R408" s="157"/>
      <c r="S408" s="56" t="s">
        <v>0</v>
      </c>
      <c r="T408" s="1">
        <v>5.7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3">
        <f t="shared" si="105"/>
        <v>5.7</v>
      </c>
      <c r="AB408" s="52">
        <v>2018</v>
      </c>
      <c r="AC408" s="9"/>
      <c r="AD408" s="88"/>
      <c r="AE408" s="88"/>
    </row>
    <row r="409" spans="1:31" ht="16.350000000000001" hidden="1" customHeight="1" x14ac:dyDescent="0.25">
      <c r="A409" s="48" t="s">
        <v>18</v>
      </c>
      <c r="B409" s="48" t="s">
        <v>18</v>
      </c>
      <c r="C409" s="48" t="s">
        <v>21</v>
      </c>
      <c r="D409" s="48" t="s">
        <v>18</v>
      </c>
      <c r="E409" s="48" t="s">
        <v>21</v>
      </c>
      <c r="F409" s="48" t="s">
        <v>18</v>
      </c>
      <c r="G409" s="48" t="s">
        <v>22</v>
      </c>
      <c r="H409" s="48" t="s">
        <v>19</v>
      </c>
      <c r="I409" s="48" t="s">
        <v>24</v>
      </c>
      <c r="J409" s="48" t="s">
        <v>18</v>
      </c>
      <c r="K409" s="48" t="s">
        <v>18</v>
      </c>
      <c r="L409" s="48" t="s">
        <v>20</v>
      </c>
      <c r="M409" s="48" t="s">
        <v>36</v>
      </c>
      <c r="N409" s="48" t="s">
        <v>18</v>
      </c>
      <c r="O409" s="48" t="s">
        <v>24</v>
      </c>
      <c r="P409" s="48" t="s">
        <v>22</v>
      </c>
      <c r="Q409" s="48" t="s">
        <v>44</v>
      </c>
      <c r="R409" s="157"/>
      <c r="S409" s="56" t="s">
        <v>0</v>
      </c>
      <c r="T409" s="1">
        <v>98.8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3">
        <f t="shared" si="105"/>
        <v>98.8</v>
      </c>
      <c r="AB409" s="52">
        <v>2018</v>
      </c>
      <c r="AC409" s="9"/>
      <c r="AD409" s="88"/>
      <c r="AE409" s="88"/>
    </row>
    <row r="410" spans="1:31" ht="16.350000000000001" hidden="1" customHeight="1" x14ac:dyDescent="0.25">
      <c r="A410" s="48" t="s">
        <v>18</v>
      </c>
      <c r="B410" s="48" t="s">
        <v>18</v>
      </c>
      <c r="C410" s="48" t="s">
        <v>21</v>
      </c>
      <c r="D410" s="48" t="s">
        <v>18</v>
      </c>
      <c r="E410" s="48" t="s">
        <v>21</v>
      </c>
      <c r="F410" s="48" t="s">
        <v>18</v>
      </c>
      <c r="G410" s="48" t="s">
        <v>22</v>
      </c>
      <c r="H410" s="48" t="s">
        <v>19</v>
      </c>
      <c r="I410" s="48" t="s">
        <v>24</v>
      </c>
      <c r="J410" s="48" t="s">
        <v>18</v>
      </c>
      <c r="K410" s="48" t="s">
        <v>18</v>
      </c>
      <c r="L410" s="48" t="s">
        <v>20</v>
      </c>
      <c r="M410" s="48" t="s">
        <v>36</v>
      </c>
      <c r="N410" s="48" t="s">
        <v>18</v>
      </c>
      <c r="O410" s="48" t="s">
        <v>24</v>
      </c>
      <c r="P410" s="48" t="s">
        <v>22</v>
      </c>
      <c r="Q410" s="48" t="s">
        <v>38</v>
      </c>
      <c r="R410" s="157"/>
      <c r="S410" s="56" t="s">
        <v>0</v>
      </c>
      <c r="T410" s="1">
        <v>250.3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53">
        <f t="shared" si="105"/>
        <v>250.3</v>
      </c>
      <c r="AB410" s="52">
        <v>2018</v>
      </c>
      <c r="AC410" s="9"/>
      <c r="AD410" s="88"/>
      <c r="AE410" s="88"/>
    </row>
    <row r="411" spans="1:31" ht="37.15" hidden="1" customHeight="1" x14ac:dyDescent="0.2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69" t="s">
        <v>204</v>
      </c>
      <c r="S411" s="73" t="s">
        <v>159</v>
      </c>
      <c r="T411" s="3">
        <v>443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6">
        <f t="shared" si="105"/>
        <v>443</v>
      </c>
      <c r="AB411" s="37">
        <v>2018</v>
      </c>
      <c r="AC411" s="9"/>
      <c r="AD411" s="88"/>
      <c r="AE411" s="88"/>
    </row>
    <row r="412" spans="1:31" ht="18.600000000000001" hidden="1" customHeight="1" x14ac:dyDescent="0.25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157" t="s">
        <v>205</v>
      </c>
      <c r="S412" s="56" t="s">
        <v>0</v>
      </c>
      <c r="T412" s="1">
        <f>SUM(T413:T417)</f>
        <v>1100.4000000000001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3">
        <f t="shared" si="105"/>
        <v>1100.4000000000001</v>
      </c>
      <c r="AB412" s="52">
        <v>2018</v>
      </c>
      <c r="AC412" s="9"/>
      <c r="AD412" s="88"/>
      <c r="AE412" s="88"/>
    </row>
    <row r="413" spans="1:31" ht="16.350000000000001" hidden="1" customHeight="1" x14ac:dyDescent="0.25">
      <c r="A413" s="48" t="s">
        <v>18</v>
      </c>
      <c r="B413" s="48" t="s">
        <v>18</v>
      </c>
      <c r="C413" s="48" t="s">
        <v>21</v>
      </c>
      <c r="D413" s="48" t="s">
        <v>18</v>
      </c>
      <c r="E413" s="48" t="s">
        <v>21</v>
      </c>
      <c r="F413" s="48" t="s">
        <v>18</v>
      </c>
      <c r="G413" s="48" t="s">
        <v>22</v>
      </c>
      <c r="H413" s="48" t="s">
        <v>19</v>
      </c>
      <c r="I413" s="48" t="s">
        <v>24</v>
      </c>
      <c r="J413" s="48" t="s">
        <v>18</v>
      </c>
      <c r="K413" s="48" t="s">
        <v>18</v>
      </c>
      <c r="L413" s="48" t="s">
        <v>20</v>
      </c>
      <c r="M413" s="48" t="s">
        <v>19</v>
      </c>
      <c r="N413" s="48" t="s">
        <v>18</v>
      </c>
      <c r="O413" s="48" t="s">
        <v>24</v>
      </c>
      <c r="P413" s="48" t="s">
        <v>22</v>
      </c>
      <c r="Q413" s="48" t="s">
        <v>43</v>
      </c>
      <c r="R413" s="157"/>
      <c r="S413" s="56" t="s">
        <v>0</v>
      </c>
      <c r="T413" s="1">
        <v>400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53">
        <f t="shared" si="105"/>
        <v>400</v>
      </c>
      <c r="AB413" s="52">
        <v>2018</v>
      </c>
      <c r="AC413" s="9"/>
      <c r="AD413" s="88"/>
      <c r="AE413" s="88"/>
    </row>
    <row r="414" spans="1:31" ht="16.350000000000001" hidden="1" customHeight="1" x14ac:dyDescent="0.25">
      <c r="A414" s="48" t="s">
        <v>18</v>
      </c>
      <c r="B414" s="48" t="s">
        <v>18</v>
      </c>
      <c r="C414" s="48" t="s">
        <v>21</v>
      </c>
      <c r="D414" s="48" t="s">
        <v>18</v>
      </c>
      <c r="E414" s="48" t="s">
        <v>21</v>
      </c>
      <c r="F414" s="48" t="s">
        <v>18</v>
      </c>
      <c r="G414" s="48" t="s">
        <v>22</v>
      </c>
      <c r="H414" s="48" t="s">
        <v>19</v>
      </c>
      <c r="I414" s="48" t="s">
        <v>24</v>
      </c>
      <c r="J414" s="48" t="s">
        <v>18</v>
      </c>
      <c r="K414" s="48" t="s">
        <v>18</v>
      </c>
      <c r="L414" s="48" t="s">
        <v>20</v>
      </c>
      <c r="M414" s="48" t="s">
        <v>19</v>
      </c>
      <c r="N414" s="48" t="s">
        <v>18</v>
      </c>
      <c r="O414" s="48" t="s">
        <v>42</v>
      </c>
      <c r="P414" s="48" t="s">
        <v>22</v>
      </c>
      <c r="Q414" s="48" t="s">
        <v>162</v>
      </c>
      <c r="R414" s="157"/>
      <c r="S414" s="56" t="s">
        <v>0</v>
      </c>
      <c r="T414" s="1">
        <v>40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3">
        <f t="shared" si="105"/>
        <v>40</v>
      </c>
      <c r="AB414" s="52">
        <v>2018</v>
      </c>
      <c r="AC414" s="9"/>
      <c r="AD414" s="88"/>
      <c r="AE414" s="88"/>
    </row>
    <row r="415" spans="1:31" ht="16.350000000000001" hidden="1" customHeight="1" x14ac:dyDescent="0.25">
      <c r="A415" s="48" t="s">
        <v>18</v>
      </c>
      <c r="B415" s="48" t="s">
        <v>18</v>
      </c>
      <c r="C415" s="48" t="s">
        <v>21</v>
      </c>
      <c r="D415" s="48" t="s">
        <v>18</v>
      </c>
      <c r="E415" s="48" t="s">
        <v>21</v>
      </c>
      <c r="F415" s="48" t="s">
        <v>18</v>
      </c>
      <c r="G415" s="48" t="s">
        <v>22</v>
      </c>
      <c r="H415" s="48" t="s">
        <v>19</v>
      </c>
      <c r="I415" s="48" t="s">
        <v>24</v>
      </c>
      <c r="J415" s="48" t="s">
        <v>18</v>
      </c>
      <c r="K415" s="48" t="s">
        <v>18</v>
      </c>
      <c r="L415" s="48" t="s">
        <v>20</v>
      </c>
      <c r="M415" s="48" t="s">
        <v>36</v>
      </c>
      <c r="N415" s="48" t="s">
        <v>18</v>
      </c>
      <c r="O415" s="48" t="s">
        <v>24</v>
      </c>
      <c r="P415" s="48" t="s">
        <v>22</v>
      </c>
      <c r="Q415" s="48" t="s">
        <v>44</v>
      </c>
      <c r="R415" s="157"/>
      <c r="S415" s="56" t="s">
        <v>0</v>
      </c>
      <c r="T415" s="1">
        <v>30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53">
        <f t="shared" si="105"/>
        <v>30</v>
      </c>
      <c r="AB415" s="52">
        <v>2018</v>
      </c>
      <c r="AC415" s="9"/>
      <c r="AD415" s="88"/>
      <c r="AE415" s="88"/>
    </row>
    <row r="416" spans="1:31" ht="16.350000000000001" hidden="1" customHeight="1" x14ac:dyDescent="0.25">
      <c r="A416" s="48" t="s">
        <v>18</v>
      </c>
      <c r="B416" s="48" t="s">
        <v>18</v>
      </c>
      <c r="C416" s="48" t="s">
        <v>21</v>
      </c>
      <c r="D416" s="48" t="s">
        <v>18</v>
      </c>
      <c r="E416" s="48" t="s">
        <v>21</v>
      </c>
      <c r="F416" s="48" t="s">
        <v>18</v>
      </c>
      <c r="G416" s="48" t="s">
        <v>22</v>
      </c>
      <c r="H416" s="48" t="s">
        <v>19</v>
      </c>
      <c r="I416" s="48" t="s">
        <v>24</v>
      </c>
      <c r="J416" s="48" t="s">
        <v>18</v>
      </c>
      <c r="K416" s="48" t="s">
        <v>18</v>
      </c>
      <c r="L416" s="48" t="s">
        <v>20</v>
      </c>
      <c r="M416" s="48" t="s">
        <v>36</v>
      </c>
      <c r="N416" s="48" t="s">
        <v>18</v>
      </c>
      <c r="O416" s="48" t="s">
        <v>24</v>
      </c>
      <c r="P416" s="48" t="s">
        <v>22</v>
      </c>
      <c r="Q416" s="48" t="s">
        <v>44</v>
      </c>
      <c r="R416" s="157"/>
      <c r="S416" s="56" t="s">
        <v>0</v>
      </c>
      <c r="T416" s="1">
        <v>166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53">
        <f t="shared" si="105"/>
        <v>166</v>
      </c>
      <c r="AB416" s="52">
        <v>2018</v>
      </c>
      <c r="AC416" s="9"/>
      <c r="AD416" s="88"/>
      <c r="AE416" s="88"/>
    </row>
    <row r="417" spans="1:31" ht="16.350000000000001" hidden="1" customHeight="1" x14ac:dyDescent="0.25">
      <c r="A417" s="48" t="s">
        <v>18</v>
      </c>
      <c r="B417" s="48" t="s">
        <v>18</v>
      </c>
      <c r="C417" s="48" t="s">
        <v>21</v>
      </c>
      <c r="D417" s="48" t="s">
        <v>18</v>
      </c>
      <c r="E417" s="48" t="s">
        <v>21</v>
      </c>
      <c r="F417" s="48" t="s">
        <v>18</v>
      </c>
      <c r="G417" s="48" t="s">
        <v>22</v>
      </c>
      <c r="H417" s="48" t="s">
        <v>19</v>
      </c>
      <c r="I417" s="48" t="s">
        <v>24</v>
      </c>
      <c r="J417" s="48" t="s">
        <v>18</v>
      </c>
      <c r="K417" s="48" t="s">
        <v>18</v>
      </c>
      <c r="L417" s="48" t="s">
        <v>20</v>
      </c>
      <c r="M417" s="48" t="s">
        <v>36</v>
      </c>
      <c r="N417" s="48" t="s">
        <v>18</v>
      </c>
      <c r="O417" s="48" t="s">
        <v>24</v>
      </c>
      <c r="P417" s="48" t="s">
        <v>22</v>
      </c>
      <c r="Q417" s="48" t="s">
        <v>38</v>
      </c>
      <c r="R417" s="157"/>
      <c r="S417" s="56" t="s">
        <v>0</v>
      </c>
      <c r="T417" s="1">
        <v>464.4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53">
        <f t="shared" si="105"/>
        <v>464.4</v>
      </c>
      <c r="AB417" s="52">
        <v>2018</v>
      </c>
      <c r="AC417" s="9"/>
      <c r="AD417" s="88"/>
      <c r="AE417" s="88"/>
    </row>
    <row r="418" spans="1:31" ht="37.15" hidden="1" customHeight="1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69" t="s">
        <v>206</v>
      </c>
      <c r="S418" s="73" t="s">
        <v>159</v>
      </c>
      <c r="T418" s="3">
        <v>930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6">
        <f t="shared" si="105"/>
        <v>930</v>
      </c>
      <c r="AB418" s="37">
        <v>2018</v>
      </c>
      <c r="AC418" s="9"/>
      <c r="AD418" s="88"/>
      <c r="AE418" s="88"/>
    </row>
    <row r="419" spans="1:31" ht="22.15" hidden="1" customHeight="1" x14ac:dyDescent="0.25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157" t="s">
        <v>207</v>
      </c>
      <c r="S419" s="56" t="s">
        <v>0</v>
      </c>
      <c r="T419" s="1">
        <f>SUM(T420:T424)</f>
        <v>1421.6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53">
        <f t="shared" si="105"/>
        <v>1421.6</v>
      </c>
      <c r="AB419" s="52">
        <v>2018</v>
      </c>
      <c r="AC419" s="9"/>
      <c r="AD419" s="88"/>
      <c r="AE419" s="88"/>
    </row>
    <row r="420" spans="1:31" ht="16.350000000000001" hidden="1" customHeight="1" x14ac:dyDescent="0.25">
      <c r="A420" s="48" t="s">
        <v>18</v>
      </c>
      <c r="B420" s="48" t="s">
        <v>18</v>
      </c>
      <c r="C420" s="48" t="s">
        <v>21</v>
      </c>
      <c r="D420" s="48" t="s">
        <v>18</v>
      </c>
      <c r="E420" s="48" t="s">
        <v>21</v>
      </c>
      <c r="F420" s="48" t="s">
        <v>18</v>
      </c>
      <c r="G420" s="48" t="s">
        <v>22</v>
      </c>
      <c r="H420" s="48" t="s">
        <v>19</v>
      </c>
      <c r="I420" s="48" t="s">
        <v>24</v>
      </c>
      <c r="J420" s="48" t="s">
        <v>18</v>
      </c>
      <c r="K420" s="48" t="s">
        <v>18</v>
      </c>
      <c r="L420" s="48" t="s">
        <v>20</v>
      </c>
      <c r="M420" s="48" t="s">
        <v>19</v>
      </c>
      <c r="N420" s="48" t="s">
        <v>18</v>
      </c>
      <c r="O420" s="48" t="s">
        <v>24</v>
      </c>
      <c r="P420" s="48" t="s">
        <v>22</v>
      </c>
      <c r="Q420" s="48" t="s">
        <v>43</v>
      </c>
      <c r="R420" s="157"/>
      <c r="S420" s="56" t="s">
        <v>0</v>
      </c>
      <c r="T420" s="1">
        <v>400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53">
        <f t="shared" si="105"/>
        <v>400</v>
      </c>
      <c r="AB420" s="52">
        <v>2018</v>
      </c>
      <c r="AC420" s="9"/>
      <c r="AD420" s="88"/>
      <c r="AE420" s="88"/>
    </row>
    <row r="421" spans="1:31" ht="16.350000000000001" hidden="1" customHeight="1" x14ac:dyDescent="0.25">
      <c r="A421" s="48" t="s">
        <v>18</v>
      </c>
      <c r="B421" s="48" t="s">
        <v>18</v>
      </c>
      <c r="C421" s="48" t="s">
        <v>21</v>
      </c>
      <c r="D421" s="48" t="s">
        <v>18</v>
      </c>
      <c r="E421" s="48" t="s">
        <v>21</v>
      </c>
      <c r="F421" s="48" t="s">
        <v>18</v>
      </c>
      <c r="G421" s="48" t="s">
        <v>22</v>
      </c>
      <c r="H421" s="48" t="s">
        <v>19</v>
      </c>
      <c r="I421" s="48" t="s">
        <v>24</v>
      </c>
      <c r="J421" s="48" t="s">
        <v>18</v>
      </c>
      <c r="K421" s="48" t="s">
        <v>18</v>
      </c>
      <c r="L421" s="48" t="s">
        <v>20</v>
      </c>
      <c r="M421" s="48" t="s">
        <v>19</v>
      </c>
      <c r="N421" s="48" t="s">
        <v>18</v>
      </c>
      <c r="O421" s="48" t="s">
        <v>42</v>
      </c>
      <c r="P421" s="48" t="s">
        <v>22</v>
      </c>
      <c r="Q421" s="48" t="s">
        <v>162</v>
      </c>
      <c r="R421" s="157"/>
      <c r="S421" s="56" t="s">
        <v>0</v>
      </c>
      <c r="T421" s="1">
        <v>50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53">
        <f>SUM(T421:Y421)</f>
        <v>50</v>
      </c>
      <c r="AB421" s="52">
        <v>2018</v>
      </c>
      <c r="AC421" s="9"/>
      <c r="AD421" s="88"/>
      <c r="AE421" s="88"/>
    </row>
    <row r="422" spans="1:31" ht="16.350000000000001" hidden="1" customHeight="1" x14ac:dyDescent="0.25">
      <c r="A422" s="48" t="s">
        <v>18</v>
      </c>
      <c r="B422" s="48" t="s">
        <v>18</v>
      </c>
      <c r="C422" s="48" t="s">
        <v>21</v>
      </c>
      <c r="D422" s="48" t="s">
        <v>18</v>
      </c>
      <c r="E422" s="48" t="s">
        <v>21</v>
      </c>
      <c r="F422" s="48" t="s">
        <v>18</v>
      </c>
      <c r="G422" s="48" t="s">
        <v>22</v>
      </c>
      <c r="H422" s="48" t="s">
        <v>19</v>
      </c>
      <c r="I422" s="48" t="s">
        <v>24</v>
      </c>
      <c r="J422" s="48" t="s">
        <v>18</v>
      </c>
      <c r="K422" s="48" t="s">
        <v>18</v>
      </c>
      <c r="L422" s="48" t="s">
        <v>20</v>
      </c>
      <c r="M422" s="48" t="s">
        <v>36</v>
      </c>
      <c r="N422" s="48" t="s">
        <v>18</v>
      </c>
      <c r="O422" s="48" t="s">
        <v>24</v>
      </c>
      <c r="P422" s="48" t="s">
        <v>22</v>
      </c>
      <c r="Q422" s="48" t="s">
        <v>44</v>
      </c>
      <c r="R422" s="157"/>
      <c r="S422" s="56" t="s">
        <v>0</v>
      </c>
      <c r="T422" s="1">
        <v>83.1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53">
        <f t="shared" si="105"/>
        <v>83.1</v>
      </c>
      <c r="AB422" s="52">
        <v>2018</v>
      </c>
      <c r="AC422" s="9"/>
      <c r="AD422" s="88"/>
      <c r="AE422" s="88"/>
    </row>
    <row r="423" spans="1:31" ht="16.350000000000001" hidden="1" customHeight="1" x14ac:dyDescent="0.25">
      <c r="A423" s="48" t="s">
        <v>18</v>
      </c>
      <c r="B423" s="48" t="s">
        <v>18</v>
      </c>
      <c r="C423" s="48" t="s">
        <v>21</v>
      </c>
      <c r="D423" s="48" t="s">
        <v>18</v>
      </c>
      <c r="E423" s="48" t="s">
        <v>21</v>
      </c>
      <c r="F423" s="48" t="s">
        <v>18</v>
      </c>
      <c r="G423" s="48" t="s">
        <v>22</v>
      </c>
      <c r="H423" s="48" t="s">
        <v>19</v>
      </c>
      <c r="I423" s="48" t="s">
        <v>24</v>
      </c>
      <c r="J423" s="48" t="s">
        <v>18</v>
      </c>
      <c r="K423" s="48" t="s">
        <v>18</v>
      </c>
      <c r="L423" s="48" t="s">
        <v>20</v>
      </c>
      <c r="M423" s="48" t="s">
        <v>36</v>
      </c>
      <c r="N423" s="48" t="s">
        <v>18</v>
      </c>
      <c r="O423" s="48" t="s">
        <v>24</v>
      </c>
      <c r="P423" s="48" t="s">
        <v>22</v>
      </c>
      <c r="Q423" s="48" t="s">
        <v>44</v>
      </c>
      <c r="R423" s="157"/>
      <c r="S423" s="56" t="s">
        <v>0</v>
      </c>
      <c r="T423" s="1">
        <v>143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53">
        <f t="shared" si="105"/>
        <v>143</v>
      </c>
      <c r="AB423" s="52">
        <v>2018</v>
      </c>
      <c r="AC423" s="9"/>
      <c r="AD423" s="88"/>
      <c r="AE423" s="88"/>
    </row>
    <row r="424" spans="1:31" ht="16.350000000000001" hidden="1" customHeight="1" x14ac:dyDescent="0.25">
      <c r="A424" s="48" t="s">
        <v>18</v>
      </c>
      <c r="B424" s="48" t="s">
        <v>18</v>
      </c>
      <c r="C424" s="48" t="s">
        <v>21</v>
      </c>
      <c r="D424" s="48" t="s">
        <v>18</v>
      </c>
      <c r="E424" s="48" t="s">
        <v>21</v>
      </c>
      <c r="F424" s="48" t="s">
        <v>18</v>
      </c>
      <c r="G424" s="48" t="s">
        <v>22</v>
      </c>
      <c r="H424" s="48" t="s">
        <v>19</v>
      </c>
      <c r="I424" s="48" t="s">
        <v>24</v>
      </c>
      <c r="J424" s="48" t="s">
        <v>18</v>
      </c>
      <c r="K424" s="48" t="s">
        <v>18</v>
      </c>
      <c r="L424" s="48" t="s">
        <v>20</v>
      </c>
      <c r="M424" s="48" t="s">
        <v>36</v>
      </c>
      <c r="N424" s="48" t="s">
        <v>18</v>
      </c>
      <c r="O424" s="48" t="s">
        <v>24</v>
      </c>
      <c r="P424" s="48" t="s">
        <v>22</v>
      </c>
      <c r="Q424" s="48" t="s">
        <v>38</v>
      </c>
      <c r="R424" s="157"/>
      <c r="S424" s="56" t="s">
        <v>0</v>
      </c>
      <c r="T424" s="1">
        <v>745.5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53">
        <f t="shared" si="105"/>
        <v>745.5</v>
      </c>
      <c r="AB424" s="52">
        <v>2018</v>
      </c>
      <c r="AC424" s="9"/>
      <c r="AD424" s="88"/>
      <c r="AE424" s="88"/>
    </row>
    <row r="425" spans="1:31" ht="36.6" hidden="1" customHeight="1" x14ac:dyDescent="0.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69" t="s">
        <v>208</v>
      </c>
      <c r="S425" s="73" t="s">
        <v>159</v>
      </c>
      <c r="T425" s="3">
        <v>1070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6">
        <f t="shared" si="105"/>
        <v>1070</v>
      </c>
      <c r="AB425" s="37">
        <v>2018</v>
      </c>
      <c r="AC425" s="9"/>
      <c r="AD425" s="88"/>
      <c r="AE425" s="88"/>
    </row>
    <row r="426" spans="1:31" ht="19.899999999999999" hidden="1" customHeight="1" x14ac:dyDescent="0.25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157" t="s">
        <v>209</v>
      </c>
      <c r="S426" s="56" t="s">
        <v>0</v>
      </c>
      <c r="T426" s="1">
        <f>SUM(T427:T431)</f>
        <v>263.89999999999998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53">
        <f t="shared" si="105"/>
        <v>263.89999999999998</v>
      </c>
      <c r="AB426" s="52">
        <v>2018</v>
      </c>
      <c r="AC426" s="9"/>
      <c r="AD426" s="88"/>
      <c r="AE426" s="88"/>
    </row>
    <row r="427" spans="1:31" ht="16.350000000000001" hidden="1" customHeight="1" x14ac:dyDescent="0.25">
      <c r="A427" s="48" t="s">
        <v>18</v>
      </c>
      <c r="B427" s="48" t="s">
        <v>18</v>
      </c>
      <c r="C427" s="48" t="s">
        <v>21</v>
      </c>
      <c r="D427" s="48" t="s">
        <v>18</v>
      </c>
      <c r="E427" s="48" t="s">
        <v>21</v>
      </c>
      <c r="F427" s="48" t="s">
        <v>18</v>
      </c>
      <c r="G427" s="48" t="s">
        <v>22</v>
      </c>
      <c r="H427" s="48" t="s">
        <v>19</v>
      </c>
      <c r="I427" s="48" t="s">
        <v>24</v>
      </c>
      <c r="J427" s="48" t="s">
        <v>18</v>
      </c>
      <c r="K427" s="48" t="s">
        <v>18</v>
      </c>
      <c r="L427" s="48" t="s">
        <v>20</v>
      </c>
      <c r="M427" s="48" t="s">
        <v>19</v>
      </c>
      <c r="N427" s="48" t="s">
        <v>18</v>
      </c>
      <c r="O427" s="48" t="s">
        <v>24</v>
      </c>
      <c r="P427" s="48" t="s">
        <v>22</v>
      </c>
      <c r="Q427" s="48" t="s">
        <v>43</v>
      </c>
      <c r="R427" s="157"/>
      <c r="S427" s="56" t="s">
        <v>0</v>
      </c>
      <c r="T427" s="1">
        <v>105.5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53">
        <f t="shared" si="105"/>
        <v>105.5</v>
      </c>
      <c r="AB427" s="52">
        <v>2018</v>
      </c>
      <c r="AC427" s="9"/>
      <c r="AD427" s="88"/>
      <c r="AE427" s="88"/>
    </row>
    <row r="428" spans="1:31" ht="16.350000000000001" hidden="1" customHeight="1" x14ac:dyDescent="0.25">
      <c r="A428" s="48" t="s">
        <v>18</v>
      </c>
      <c r="B428" s="48" t="s">
        <v>18</v>
      </c>
      <c r="C428" s="48" t="s">
        <v>21</v>
      </c>
      <c r="D428" s="48" t="s">
        <v>18</v>
      </c>
      <c r="E428" s="48" t="s">
        <v>21</v>
      </c>
      <c r="F428" s="48" t="s">
        <v>18</v>
      </c>
      <c r="G428" s="48" t="s">
        <v>22</v>
      </c>
      <c r="H428" s="48" t="s">
        <v>19</v>
      </c>
      <c r="I428" s="48" t="s">
        <v>24</v>
      </c>
      <c r="J428" s="48" t="s">
        <v>18</v>
      </c>
      <c r="K428" s="48" t="s">
        <v>18</v>
      </c>
      <c r="L428" s="48" t="s">
        <v>20</v>
      </c>
      <c r="M428" s="48" t="s">
        <v>19</v>
      </c>
      <c r="N428" s="48" t="s">
        <v>18</v>
      </c>
      <c r="O428" s="48" t="s">
        <v>42</v>
      </c>
      <c r="P428" s="48" t="s">
        <v>22</v>
      </c>
      <c r="Q428" s="48" t="s">
        <v>162</v>
      </c>
      <c r="R428" s="157"/>
      <c r="S428" s="56" t="s">
        <v>0</v>
      </c>
      <c r="T428" s="1">
        <v>20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53">
        <f t="shared" si="105"/>
        <v>20</v>
      </c>
      <c r="AB428" s="52">
        <v>2018</v>
      </c>
      <c r="AC428" s="9"/>
      <c r="AD428" s="88"/>
      <c r="AE428" s="88"/>
    </row>
    <row r="429" spans="1:31" ht="16.350000000000001" hidden="1" customHeight="1" x14ac:dyDescent="0.25">
      <c r="A429" s="48" t="s">
        <v>18</v>
      </c>
      <c r="B429" s="48" t="s">
        <v>18</v>
      </c>
      <c r="C429" s="48" t="s">
        <v>21</v>
      </c>
      <c r="D429" s="48" t="s">
        <v>18</v>
      </c>
      <c r="E429" s="48" t="s">
        <v>21</v>
      </c>
      <c r="F429" s="48" t="s">
        <v>18</v>
      </c>
      <c r="G429" s="48" t="s">
        <v>22</v>
      </c>
      <c r="H429" s="48" t="s">
        <v>19</v>
      </c>
      <c r="I429" s="48" t="s">
        <v>24</v>
      </c>
      <c r="J429" s="48" t="s">
        <v>18</v>
      </c>
      <c r="K429" s="48" t="s">
        <v>18</v>
      </c>
      <c r="L429" s="48" t="s">
        <v>20</v>
      </c>
      <c r="M429" s="48" t="s">
        <v>36</v>
      </c>
      <c r="N429" s="48" t="s">
        <v>18</v>
      </c>
      <c r="O429" s="48" t="s">
        <v>24</v>
      </c>
      <c r="P429" s="48" t="s">
        <v>22</v>
      </c>
      <c r="Q429" s="48" t="s">
        <v>44</v>
      </c>
      <c r="R429" s="157"/>
      <c r="S429" s="56" t="s">
        <v>0</v>
      </c>
      <c r="T429" s="1">
        <v>19.399999999999999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53">
        <f t="shared" si="105"/>
        <v>19.399999999999999</v>
      </c>
      <c r="AB429" s="52">
        <v>2018</v>
      </c>
      <c r="AC429" s="9"/>
      <c r="AD429" s="88"/>
      <c r="AE429" s="88"/>
    </row>
    <row r="430" spans="1:31" ht="16.350000000000001" hidden="1" customHeight="1" x14ac:dyDescent="0.25">
      <c r="A430" s="48" t="s">
        <v>18</v>
      </c>
      <c r="B430" s="48" t="s">
        <v>18</v>
      </c>
      <c r="C430" s="48" t="s">
        <v>21</v>
      </c>
      <c r="D430" s="48" t="s">
        <v>18</v>
      </c>
      <c r="E430" s="48" t="s">
        <v>21</v>
      </c>
      <c r="F430" s="48" t="s">
        <v>18</v>
      </c>
      <c r="G430" s="48" t="s">
        <v>22</v>
      </c>
      <c r="H430" s="48" t="s">
        <v>19</v>
      </c>
      <c r="I430" s="48" t="s">
        <v>24</v>
      </c>
      <c r="J430" s="48" t="s">
        <v>18</v>
      </c>
      <c r="K430" s="48" t="s">
        <v>18</v>
      </c>
      <c r="L430" s="48" t="s">
        <v>20</v>
      </c>
      <c r="M430" s="48" t="s">
        <v>36</v>
      </c>
      <c r="N430" s="48" t="s">
        <v>18</v>
      </c>
      <c r="O430" s="48" t="s">
        <v>24</v>
      </c>
      <c r="P430" s="48" t="s">
        <v>22</v>
      </c>
      <c r="Q430" s="48" t="s">
        <v>44</v>
      </c>
      <c r="R430" s="157"/>
      <c r="S430" s="56" t="s">
        <v>0</v>
      </c>
      <c r="T430" s="1">
        <v>39.6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53">
        <f t="shared" si="105"/>
        <v>39.6</v>
      </c>
      <c r="AB430" s="52">
        <v>2018</v>
      </c>
      <c r="AC430" s="9"/>
      <c r="AD430" s="88"/>
      <c r="AE430" s="88"/>
    </row>
    <row r="431" spans="1:31" ht="16.350000000000001" hidden="1" customHeight="1" x14ac:dyDescent="0.25">
      <c r="A431" s="48" t="s">
        <v>18</v>
      </c>
      <c r="B431" s="48" t="s">
        <v>18</v>
      </c>
      <c r="C431" s="48" t="s">
        <v>21</v>
      </c>
      <c r="D431" s="48" t="s">
        <v>18</v>
      </c>
      <c r="E431" s="48" t="s">
        <v>21</v>
      </c>
      <c r="F431" s="48" t="s">
        <v>18</v>
      </c>
      <c r="G431" s="48" t="s">
        <v>22</v>
      </c>
      <c r="H431" s="48" t="s">
        <v>19</v>
      </c>
      <c r="I431" s="48" t="s">
        <v>24</v>
      </c>
      <c r="J431" s="48" t="s">
        <v>18</v>
      </c>
      <c r="K431" s="48" t="s">
        <v>18</v>
      </c>
      <c r="L431" s="48" t="s">
        <v>20</v>
      </c>
      <c r="M431" s="48" t="s">
        <v>36</v>
      </c>
      <c r="N431" s="48" t="s">
        <v>18</v>
      </c>
      <c r="O431" s="48" t="s">
        <v>24</v>
      </c>
      <c r="P431" s="48" t="s">
        <v>22</v>
      </c>
      <c r="Q431" s="48" t="s">
        <v>38</v>
      </c>
      <c r="R431" s="157"/>
      <c r="S431" s="56" t="s">
        <v>0</v>
      </c>
      <c r="T431" s="1">
        <v>79.400000000000006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53">
        <f t="shared" si="105"/>
        <v>79.400000000000006</v>
      </c>
      <c r="AB431" s="52">
        <v>2018</v>
      </c>
      <c r="AC431" s="9"/>
      <c r="AD431" s="88"/>
      <c r="AE431" s="88"/>
    </row>
    <row r="432" spans="1:31" ht="36.6" hidden="1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69" t="s">
        <v>210</v>
      </c>
      <c r="S432" s="73" t="s">
        <v>8</v>
      </c>
      <c r="T432" s="40">
        <v>5</v>
      </c>
      <c r="U432" s="40">
        <v>0</v>
      </c>
      <c r="V432" s="40">
        <v>0</v>
      </c>
      <c r="W432" s="40">
        <v>0</v>
      </c>
      <c r="X432" s="40">
        <v>0</v>
      </c>
      <c r="Y432" s="40">
        <v>0</v>
      </c>
      <c r="Z432" s="40">
        <v>0</v>
      </c>
      <c r="AA432" s="6">
        <f t="shared" si="105"/>
        <v>5</v>
      </c>
      <c r="AB432" s="37">
        <v>2018</v>
      </c>
      <c r="AC432" s="9"/>
      <c r="AD432" s="88"/>
      <c r="AE432" s="88"/>
    </row>
    <row r="433" spans="1:31" ht="15.6" hidden="1" customHeight="1" x14ac:dyDescent="0.25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157" t="s">
        <v>211</v>
      </c>
      <c r="S433" s="56" t="s">
        <v>0</v>
      </c>
      <c r="T433" s="1">
        <f>SUM(T434:T438)</f>
        <v>490.3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53">
        <f t="shared" si="105"/>
        <v>490.3</v>
      </c>
      <c r="AB433" s="52">
        <v>2018</v>
      </c>
      <c r="AC433" s="9"/>
      <c r="AD433" s="88"/>
      <c r="AE433" s="88"/>
    </row>
    <row r="434" spans="1:31" ht="15.6" hidden="1" customHeight="1" x14ac:dyDescent="0.25">
      <c r="A434" s="48" t="s">
        <v>18</v>
      </c>
      <c r="B434" s="48" t="s">
        <v>18</v>
      </c>
      <c r="C434" s="48" t="s">
        <v>21</v>
      </c>
      <c r="D434" s="48" t="s">
        <v>18</v>
      </c>
      <c r="E434" s="48" t="s">
        <v>24</v>
      </c>
      <c r="F434" s="48" t="s">
        <v>18</v>
      </c>
      <c r="G434" s="48" t="s">
        <v>42</v>
      </c>
      <c r="H434" s="48" t="s">
        <v>19</v>
      </c>
      <c r="I434" s="48" t="s">
        <v>24</v>
      </c>
      <c r="J434" s="48" t="s">
        <v>18</v>
      </c>
      <c r="K434" s="48" t="s">
        <v>18</v>
      </c>
      <c r="L434" s="48" t="s">
        <v>20</v>
      </c>
      <c r="M434" s="48" t="s">
        <v>19</v>
      </c>
      <c r="N434" s="48" t="s">
        <v>18</v>
      </c>
      <c r="O434" s="48" t="s">
        <v>24</v>
      </c>
      <c r="P434" s="48" t="s">
        <v>22</v>
      </c>
      <c r="Q434" s="48" t="s">
        <v>43</v>
      </c>
      <c r="R434" s="157"/>
      <c r="S434" s="56" t="s">
        <v>0</v>
      </c>
      <c r="T434" s="1">
        <v>196.1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53">
        <f t="shared" si="105"/>
        <v>196.1</v>
      </c>
      <c r="AB434" s="52">
        <v>2018</v>
      </c>
      <c r="AC434" s="9"/>
      <c r="AD434" s="88"/>
      <c r="AE434" s="88"/>
    </row>
    <row r="435" spans="1:31" ht="15.6" hidden="1" customHeight="1" x14ac:dyDescent="0.25">
      <c r="A435" s="48" t="s">
        <v>18</v>
      </c>
      <c r="B435" s="48" t="s">
        <v>18</v>
      </c>
      <c r="C435" s="48" t="s">
        <v>21</v>
      </c>
      <c r="D435" s="48" t="s">
        <v>18</v>
      </c>
      <c r="E435" s="48" t="s">
        <v>24</v>
      </c>
      <c r="F435" s="48" t="s">
        <v>18</v>
      </c>
      <c r="G435" s="48" t="s">
        <v>42</v>
      </c>
      <c r="H435" s="48" t="s">
        <v>19</v>
      </c>
      <c r="I435" s="48" t="s">
        <v>24</v>
      </c>
      <c r="J435" s="48" t="s">
        <v>18</v>
      </c>
      <c r="K435" s="48" t="s">
        <v>18</v>
      </c>
      <c r="L435" s="48" t="s">
        <v>20</v>
      </c>
      <c r="M435" s="48" t="s">
        <v>19</v>
      </c>
      <c r="N435" s="48" t="s">
        <v>18</v>
      </c>
      <c r="O435" s="48" t="s">
        <v>42</v>
      </c>
      <c r="P435" s="48" t="s">
        <v>22</v>
      </c>
      <c r="Q435" s="48" t="s">
        <v>162</v>
      </c>
      <c r="R435" s="157"/>
      <c r="S435" s="56" t="s">
        <v>0</v>
      </c>
      <c r="T435" s="1">
        <v>30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53">
        <f>SUM(T435:Y435)</f>
        <v>30</v>
      </c>
      <c r="AB435" s="52">
        <v>2018</v>
      </c>
      <c r="AC435" s="9"/>
      <c r="AD435" s="88"/>
      <c r="AE435" s="88"/>
    </row>
    <row r="436" spans="1:31" ht="15.6" hidden="1" customHeight="1" x14ac:dyDescent="0.25">
      <c r="A436" s="48" t="s">
        <v>18</v>
      </c>
      <c r="B436" s="48" t="s">
        <v>18</v>
      </c>
      <c r="C436" s="48" t="s">
        <v>21</v>
      </c>
      <c r="D436" s="48" t="s">
        <v>18</v>
      </c>
      <c r="E436" s="48" t="s">
        <v>24</v>
      </c>
      <c r="F436" s="48" t="s">
        <v>18</v>
      </c>
      <c r="G436" s="48" t="s">
        <v>42</v>
      </c>
      <c r="H436" s="48" t="s">
        <v>19</v>
      </c>
      <c r="I436" s="48" t="s">
        <v>24</v>
      </c>
      <c r="J436" s="48" t="s">
        <v>18</v>
      </c>
      <c r="K436" s="48" t="s">
        <v>18</v>
      </c>
      <c r="L436" s="48" t="s">
        <v>20</v>
      </c>
      <c r="M436" s="48" t="s">
        <v>36</v>
      </c>
      <c r="N436" s="48" t="s">
        <v>18</v>
      </c>
      <c r="O436" s="48" t="s">
        <v>24</v>
      </c>
      <c r="P436" s="48" t="s">
        <v>22</v>
      </c>
      <c r="Q436" s="48" t="s">
        <v>44</v>
      </c>
      <c r="R436" s="157"/>
      <c r="S436" s="56" t="s">
        <v>0</v>
      </c>
      <c r="T436" s="1">
        <v>33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53">
        <f t="shared" si="105"/>
        <v>33</v>
      </c>
      <c r="AB436" s="52">
        <v>2018</v>
      </c>
      <c r="AC436" s="9"/>
      <c r="AD436" s="88"/>
      <c r="AE436" s="88"/>
    </row>
    <row r="437" spans="1:31" ht="15.6" hidden="1" customHeight="1" x14ac:dyDescent="0.25">
      <c r="A437" s="48" t="s">
        <v>18</v>
      </c>
      <c r="B437" s="48" t="s">
        <v>18</v>
      </c>
      <c r="C437" s="48" t="s">
        <v>21</v>
      </c>
      <c r="D437" s="48" t="s">
        <v>18</v>
      </c>
      <c r="E437" s="48" t="s">
        <v>24</v>
      </c>
      <c r="F437" s="48" t="s">
        <v>18</v>
      </c>
      <c r="G437" s="48" t="s">
        <v>42</v>
      </c>
      <c r="H437" s="48" t="s">
        <v>19</v>
      </c>
      <c r="I437" s="48" t="s">
        <v>24</v>
      </c>
      <c r="J437" s="48" t="s">
        <v>18</v>
      </c>
      <c r="K437" s="48" t="s">
        <v>18</v>
      </c>
      <c r="L437" s="48" t="s">
        <v>20</v>
      </c>
      <c r="M437" s="48" t="s">
        <v>36</v>
      </c>
      <c r="N437" s="48" t="s">
        <v>18</v>
      </c>
      <c r="O437" s="48" t="s">
        <v>24</v>
      </c>
      <c r="P437" s="48" t="s">
        <v>22</v>
      </c>
      <c r="Q437" s="48" t="s">
        <v>44</v>
      </c>
      <c r="R437" s="157"/>
      <c r="S437" s="56" t="s">
        <v>0</v>
      </c>
      <c r="T437" s="1">
        <v>102.9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53">
        <f t="shared" si="105"/>
        <v>102.9</v>
      </c>
      <c r="AB437" s="52">
        <v>2018</v>
      </c>
      <c r="AC437" s="9"/>
      <c r="AD437" s="88"/>
      <c r="AE437" s="88"/>
    </row>
    <row r="438" spans="1:31" ht="15.6" hidden="1" customHeight="1" x14ac:dyDescent="0.25">
      <c r="A438" s="48" t="s">
        <v>18</v>
      </c>
      <c r="B438" s="48" t="s">
        <v>18</v>
      </c>
      <c r="C438" s="48" t="s">
        <v>21</v>
      </c>
      <c r="D438" s="48" t="s">
        <v>18</v>
      </c>
      <c r="E438" s="48" t="s">
        <v>24</v>
      </c>
      <c r="F438" s="48" t="s">
        <v>18</v>
      </c>
      <c r="G438" s="48" t="s">
        <v>42</v>
      </c>
      <c r="H438" s="48" t="s">
        <v>19</v>
      </c>
      <c r="I438" s="48" t="s">
        <v>24</v>
      </c>
      <c r="J438" s="48" t="s">
        <v>18</v>
      </c>
      <c r="K438" s="48" t="s">
        <v>18</v>
      </c>
      <c r="L438" s="48" t="s">
        <v>20</v>
      </c>
      <c r="M438" s="48" t="s">
        <v>36</v>
      </c>
      <c r="N438" s="48" t="s">
        <v>18</v>
      </c>
      <c r="O438" s="48" t="s">
        <v>24</v>
      </c>
      <c r="P438" s="48" t="s">
        <v>22</v>
      </c>
      <c r="Q438" s="48" t="s">
        <v>38</v>
      </c>
      <c r="R438" s="157"/>
      <c r="S438" s="56" t="s">
        <v>0</v>
      </c>
      <c r="T438" s="1">
        <v>128.30000000000001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53">
        <f t="shared" si="105"/>
        <v>128.30000000000001</v>
      </c>
      <c r="AB438" s="52">
        <v>2018</v>
      </c>
      <c r="AC438" s="9"/>
      <c r="AD438" s="88"/>
      <c r="AE438" s="88"/>
    </row>
    <row r="439" spans="1:31" ht="31.15" hidden="1" customHeight="1" x14ac:dyDescent="0.2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67" t="s">
        <v>212</v>
      </c>
      <c r="S439" s="78" t="s">
        <v>164</v>
      </c>
      <c r="T439" s="3">
        <v>180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6">
        <f t="shared" si="105"/>
        <v>180</v>
      </c>
      <c r="AB439" s="37">
        <v>2018</v>
      </c>
      <c r="AC439" s="9"/>
      <c r="AD439" s="88"/>
      <c r="AE439" s="88"/>
    </row>
    <row r="440" spans="1:31" ht="15.6" hidden="1" customHeight="1" x14ac:dyDescent="0.25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157" t="s">
        <v>213</v>
      </c>
      <c r="S440" s="56" t="s">
        <v>0</v>
      </c>
      <c r="T440" s="1">
        <f>SUM(T441:T445)</f>
        <v>1177.5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53">
        <f t="shared" si="105"/>
        <v>1177.5</v>
      </c>
      <c r="AB440" s="52">
        <v>2018</v>
      </c>
      <c r="AC440" s="9"/>
      <c r="AD440" s="88"/>
      <c r="AE440" s="88"/>
    </row>
    <row r="441" spans="1:31" ht="15.6" hidden="1" customHeight="1" x14ac:dyDescent="0.25">
      <c r="A441" s="48" t="s">
        <v>18</v>
      </c>
      <c r="B441" s="48" t="s">
        <v>18</v>
      </c>
      <c r="C441" s="48" t="s">
        <v>21</v>
      </c>
      <c r="D441" s="48" t="s">
        <v>18</v>
      </c>
      <c r="E441" s="48" t="s">
        <v>21</v>
      </c>
      <c r="F441" s="48" t="s">
        <v>18</v>
      </c>
      <c r="G441" s="48" t="s">
        <v>22</v>
      </c>
      <c r="H441" s="48" t="s">
        <v>19</v>
      </c>
      <c r="I441" s="48" t="s">
        <v>24</v>
      </c>
      <c r="J441" s="48" t="s">
        <v>18</v>
      </c>
      <c r="K441" s="48" t="s">
        <v>18</v>
      </c>
      <c r="L441" s="48" t="s">
        <v>20</v>
      </c>
      <c r="M441" s="48" t="s">
        <v>19</v>
      </c>
      <c r="N441" s="48" t="s">
        <v>18</v>
      </c>
      <c r="O441" s="48" t="s">
        <v>24</v>
      </c>
      <c r="P441" s="48" t="s">
        <v>22</v>
      </c>
      <c r="Q441" s="48" t="s">
        <v>43</v>
      </c>
      <c r="R441" s="157"/>
      <c r="S441" s="56" t="s">
        <v>0</v>
      </c>
      <c r="T441" s="1">
        <v>400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53">
        <f t="shared" si="105"/>
        <v>400</v>
      </c>
      <c r="AB441" s="52">
        <v>2018</v>
      </c>
      <c r="AC441" s="9"/>
      <c r="AD441" s="88"/>
      <c r="AE441" s="88"/>
    </row>
    <row r="442" spans="1:31" ht="15.6" hidden="1" customHeight="1" x14ac:dyDescent="0.25">
      <c r="A442" s="48" t="s">
        <v>18</v>
      </c>
      <c r="B442" s="48" t="s">
        <v>18</v>
      </c>
      <c r="C442" s="48" t="s">
        <v>21</v>
      </c>
      <c r="D442" s="48" t="s">
        <v>18</v>
      </c>
      <c r="E442" s="48" t="s">
        <v>21</v>
      </c>
      <c r="F442" s="48" t="s">
        <v>18</v>
      </c>
      <c r="G442" s="48" t="s">
        <v>22</v>
      </c>
      <c r="H442" s="48" t="s">
        <v>19</v>
      </c>
      <c r="I442" s="48" t="s">
        <v>24</v>
      </c>
      <c r="J442" s="48" t="s">
        <v>18</v>
      </c>
      <c r="K442" s="48" t="s">
        <v>18</v>
      </c>
      <c r="L442" s="48" t="s">
        <v>20</v>
      </c>
      <c r="M442" s="48" t="s">
        <v>19</v>
      </c>
      <c r="N442" s="48" t="s">
        <v>18</v>
      </c>
      <c r="O442" s="48" t="s">
        <v>42</v>
      </c>
      <c r="P442" s="48" t="s">
        <v>22</v>
      </c>
      <c r="Q442" s="48" t="s">
        <v>162</v>
      </c>
      <c r="R442" s="157"/>
      <c r="S442" s="56" t="s">
        <v>0</v>
      </c>
      <c r="T442" s="1">
        <v>45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53">
        <f t="shared" si="105"/>
        <v>45</v>
      </c>
      <c r="AB442" s="52">
        <v>2018</v>
      </c>
      <c r="AC442" s="9"/>
      <c r="AD442" s="88"/>
      <c r="AE442" s="88"/>
    </row>
    <row r="443" spans="1:31" ht="15.6" hidden="1" customHeight="1" x14ac:dyDescent="0.25">
      <c r="A443" s="48" t="s">
        <v>18</v>
      </c>
      <c r="B443" s="48" t="s">
        <v>18</v>
      </c>
      <c r="C443" s="48" t="s">
        <v>21</v>
      </c>
      <c r="D443" s="48" t="s">
        <v>18</v>
      </c>
      <c r="E443" s="48" t="s">
        <v>21</v>
      </c>
      <c r="F443" s="48" t="s">
        <v>18</v>
      </c>
      <c r="G443" s="48" t="s">
        <v>22</v>
      </c>
      <c r="H443" s="48" t="s">
        <v>19</v>
      </c>
      <c r="I443" s="48" t="s">
        <v>24</v>
      </c>
      <c r="J443" s="48" t="s">
        <v>18</v>
      </c>
      <c r="K443" s="48" t="s">
        <v>18</v>
      </c>
      <c r="L443" s="48" t="s">
        <v>20</v>
      </c>
      <c r="M443" s="48" t="s">
        <v>36</v>
      </c>
      <c r="N443" s="48" t="s">
        <v>18</v>
      </c>
      <c r="O443" s="48" t="s">
        <v>24</v>
      </c>
      <c r="P443" s="48" t="s">
        <v>22</v>
      </c>
      <c r="Q443" s="48" t="s">
        <v>44</v>
      </c>
      <c r="R443" s="157"/>
      <c r="S443" s="56" t="s">
        <v>0</v>
      </c>
      <c r="T443" s="1">
        <v>58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53">
        <f t="shared" si="105"/>
        <v>58</v>
      </c>
      <c r="AB443" s="52">
        <v>2018</v>
      </c>
      <c r="AC443" s="9"/>
      <c r="AD443" s="88"/>
      <c r="AE443" s="88"/>
    </row>
    <row r="444" spans="1:31" ht="15.6" hidden="1" customHeight="1" x14ac:dyDescent="0.25">
      <c r="A444" s="48" t="s">
        <v>18</v>
      </c>
      <c r="B444" s="48" t="s">
        <v>18</v>
      </c>
      <c r="C444" s="48" t="s">
        <v>21</v>
      </c>
      <c r="D444" s="48" t="s">
        <v>18</v>
      </c>
      <c r="E444" s="48" t="s">
        <v>21</v>
      </c>
      <c r="F444" s="48" t="s">
        <v>18</v>
      </c>
      <c r="G444" s="48" t="s">
        <v>22</v>
      </c>
      <c r="H444" s="48" t="s">
        <v>19</v>
      </c>
      <c r="I444" s="48" t="s">
        <v>24</v>
      </c>
      <c r="J444" s="48" t="s">
        <v>18</v>
      </c>
      <c r="K444" s="48" t="s">
        <v>18</v>
      </c>
      <c r="L444" s="48" t="s">
        <v>20</v>
      </c>
      <c r="M444" s="48" t="s">
        <v>36</v>
      </c>
      <c r="N444" s="48" t="s">
        <v>18</v>
      </c>
      <c r="O444" s="48" t="s">
        <v>24</v>
      </c>
      <c r="P444" s="48" t="s">
        <v>22</v>
      </c>
      <c r="Q444" s="48" t="s">
        <v>44</v>
      </c>
      <c r="R444" s="157"/>
      <c r="S444" s="56" t="s">
        <v>0</v>
      </c>
      <c r="T444" s="1">
        <v>353.3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53">
        <f t="shared" si="105"/>
        <v>353.3</v>
      </c>
      <c r="AB444" s="52">
        <v>2018</v>
      </c>
      <c r="AC444" s="75"/>
      <c r="AD444" s="88"/>
      <c r="AE444" s="88"/>
    </row>
    <row r="445" spans="1:31" ht="15.6" hidden="1" customHeight="1" x14ac:dyDescent="0.25">
      <c r="A445" s="48" t="s">
        <v>18</v>
      </c>
      <c r="B445" s="48" t="s">
        <v>18</v>
      </c>
      <c r="C445" s="48" t="s">
        <v>21</v>
      </c>
      <c r="D445" s="48" t="s">
        <v>18</v>
      </c>
      <c r="E445" s="48" t="s">
        <v>21</v>
      </c>
      <c r="F445" s="48" t="s">
        <v>18</v>
      </c>
      <c r="G445" s="48" t="s">
        <v>22</v>
      </c>
      <c r="H445" s="48" t="s">
        <v>19</v>
      </c>
      <c r="I445" s="48" t="s">
        <v>24</v>
      </c>
      <c r="J445" s="48" t="s">
        <v>18</v>
      </c>
      <c r="K445" s="48" t="s">
        <v>18</v>
      </c>
      <c r="L445" s="48" t="s">
        <v>20</v>
      </c>
      <c r="M445" s="48" t="s">
        <v>36</v>
      </c>
      <c r="N445" s="48" t="s">
        <v>18</v>
      </c>
      <c r="O445" s="48" t="s">
        <v>24</v>
      </c>
      <c r="P445" s="48" t="s">
        <v>22</v>
      </c>
      <c r="Q445" s="48" t="s">
        <v>38</v>
      </c>
      <c r="R445" s="157"/>
      <c r="S445" s="56" t="s">
        <v>0</v>
      </c>
      <c r="T445" s="1">
        <v>321.2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53">
        <f t="shared" si="105"/>
        <v>321.2</v>
      </c>
      <c r="AB445" s="52">
        <v>2018</v>
      </c>
      <c r="AC445" s="9"/>
      <c r="AD445" s="88"/>
      <c r="AE445" s="88"/>
    </row>
    <row r="446" spans="1:31" ht="27.6" hidden="1" customHeight="1" x14ac:dyDescent="0.2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77" t="s">
        <v>214</v>
      </c>
      <c r="S446" s="73" t="s">
        <v>8</v>
      </c>
      <c r="T446" s="40">
        <v>1</v>
      </c>
      <c r="U446" s="40">
        <v>0</v>
      </c>
      <c r="V446" s="40">
        <v>0</v>
      </c>
      <c r="W446" s="40">
        <v>0</v>
      </c>
      <c r="X446" s="40">
        <v>0</v>
      </c>
      <c r="Y446" s="40">
        <v>0</v>
      </c>
      <c r="Z446" s="40">
        <v>0</v>
      </c>
      <c r="AA446" s="43">
        <f t="shared" si="105"/>
        <v>1</v>
      </c>
      <c r="AB446" s="37">
        <v>2018</v>
      </c>
      <c r="AC446" s="9"/>
      <c r="AD446" s="88"/>
      <c r="AE446" s="88"/>
    </row>
    <row r="447" spans="1:31" ht="15.6" hidden="1" customHeight="1" x14ac:dyDescent="0.25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157" t="s">
        <v>215</v>
      </c>
      <c r="S447" s="56" t="s">
        <v>0</v>
      </c>
      <c r="T447" s="1">
        <f>SUM(T448:T451)</f>
        <v>979.3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53">
        <f t="shared" si="105"/>
        <v>979.3</v>
      </c>
      <c r="AB447" s="52">
        <v>2018</v>
      </c>
      <c r="AC447" s="9"/>
      <c r="AD447" s="88"/>
      <c r="AE447" s="88"/>
    </row>
    <row r="448" spans="1:31" ht="15.6" hidden="1" customHeight="1" x14ac:dyDescent="0.25">
      <c r="A448" s="48" t="s">
        <v>18</v>
      </c>
      <c r="B448" s="48" t="s">
        <v>18</v>
      </c>
      <c r="C448" s="48" t="s">
        <v>21</v>
      </c>
      <c r="D448" s="48" t="s">
        <v>18</v>
      </c>
      <c r="E448" s="48" t="s">
        <v>21</v>
      </c>
      <c r="F448" s="48" t="s">
        <v>18</v>
      </c>
      <c r="G448" s="48" t="s">
        <v>22</v>
      </c>
      <c r="H448" s="48" t="s">
        <v>19</v>
      </c>
      <c r="I448" s="48" t="s">
        <v>24</v>
      </c>
      <c r="J448" s="48" t="s">
        <v>18</v>
      </c>
      <c r="K448" s="48" t="s">
        <v>18</v>
      </c>
      <c r="L448" s="48" t="s">
        <v>20</v>
      </c>
      <c r="M448" s="48" t="s">
        <v>19</v>
      </c>
      <c r="N448" s="48" t="s">
        <v>18</v>
      </c>
      <c r="O448" s="48" t="s">
        <v>24</v>
      </c>
      <c r="P448" s="48" t="s">
        <v>22</v>
      </c>
      <c r="Q448" s="48" t="s">
        <v>43</v>
      </c>
      <c r="R448" s="157"/>
      <c r="S448" s="56" t="s">
        <v>0</v>
      </c>
      <c r="T448" s="1">
        <v>391.7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53">
        <f t="shared" si="105"/>
        <v>391.7</v>
      </c>
      <c r="AB448" s="52">
        <v>2018</v>
      </c>
      <c r="AC448" s="9"/>
      <c r="AD448" s="88"/>
      <c r="AE448" s="88"/>
    </row>
    <row r="449" spans="1:31" ht="15.6" hidden="1" customHeight="1" x14ac:dyDescent="0.25">
      <c r="A449" s="48" t="s">
        <v>18</v>
      </c>
      <c r="B449" s="48" t="s">
        <v>18</v>
      </c>
      <c r="C449" s="48" t="s">
        <v>21</v>
      </c>
      <c r="D449" s="48" t="s">
        <v>18</v>
      </c>
      <c r="E449" s="48" t="s">
        <v>21</v>
      </c>
      <c r="F449" s="48" t="s">
        <v>18</v>
      </c>
      <c r="G449" s="48" t="s">
        <v>22</v>
      </c>
      <c r="H449" s="48" t="s">
        <v>19</v>
      </c>
      <c r="I449" s="48" t="s">
        <v>24</v>
      </c>
      <c r="J449" s="48" t="s">
        <v>18</v>
      </c>
      <c r="K449" s="48" t="s">
        <v>18</v>
      </c>
      <c r="L449" s="48" t="s">
        <v>20</v>
      </c>
      <c r="M449" s="48" t="s">
        <v>36</v>
      </c>
      <c r="N449" s="48" t="s">
        <v>18</v>
      </c>
      <c r="O449" s="48" t="s">
        <v>42</v>
      </c>
      <c r="P449" s="48" t="s">
        <v>22</v>
      </c>
      <c r="Q449" s="48" t="s">
        <v>162</v>
      </c>
      <c r="R449" s="157"/>
      <c r="S449" s="56" t="s">
        <v>0</v>
      </c>
      <c r="T449" s="1">
        <v>30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53">
        <f t="shared" si="105"/>
        <v>30</v>
      </c>
      <c r="AB449" s="52">
        <v>2018</v>
      </c>
      <c r="AC449" s="9"/>
      <c r="AD449" s="88"/>
      <c r="AE449" s="88"/>
    </row>
    <row r="450" spans="1:31" ht="15.6" hidden="1" customHeight="1" x14ac:dyDescent="0.25">
      <c r="A450" s="48" t="s">
        <v>18</v>
      </c>
      <c r="B450" s="48" t="s">
        <v>18</v>
      </c>
      <c r="C450" s="48" t="s">
        <v>21</v>
      </c>
      <c r="D450" s="48" t="s">
        <v>18</v>
      </c>
      <c r="E450" s="48" t="s">
        <v>21</v>
      </c>
      <c r="F450" s="48" t="s">
        <v>18</v>
      </c>
      <c r="G450" s="48" t="s">
        <v>22</v>
      </c>
      <c r="H450" s="48" t="s">
        <v>19</v>
      </c>
      <c r="I450" s="48" t="s">
        <v>24</v>
      </c>
      <c r="J450" s="48" t="s">
        <v>18</v>
      </c>
      <c r="K450" s="48" t="s">
        <v>18</v>
      </c>
      <c r="L450" s="48" t="s">
        <v>20</v>
      </c>
      <c r="M450" s="48" t="s">
        <v>36</v>
      </c>
      <c r="N450" s="48" t="s">
        <v>18</v>
      </c>
      <c r="O450" s="48" t="s">
        <v>24</v>
      </c>
      <c r="P450" s="48" t="s">
        <v>22</v>
      </c>
      <c r="Q450" s="48" t="s">
        <v>44</v>
      </c>
      <c r="R450" s="157"/>
      <c r="S450" s="56" t="s">
        <v>0</v>
      </c>
      <c r="T450" s="1">
        <v>205.6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53">
        <f t="shared" si="105"/>
        <v>205.6</v>
      </c>
      <c r="AB450" s="52">
        <v>2018</v>
      </c>
      <c r="AC450" s="9"/>
      <c r="AD450" s="88"/>
      <c r="AE450" s="88"/>
    </row>
    <row r="451" spans="1:31" ht="15.6" hidden="1" customHeight="1" x14ac:dyDescent="0.25">
      <c r="A451" s="48" t="s">
        <v>18</v>
      </c>
      <c r="B451" s="48" t="s">
        <v>18</v>
      </c>
      <c r="C451" s="48" t="s">
        <v>21</v>
      </c>
      <c r="D451" s="48" t="s">
        <v>18</v>
      </c>
      <c r="E451" s="48" t="s">
        <v>21</v>
      </c>
      <c r="F451" s="48" t="s">
        <v>18</v>
      </c>
      <c r="G451" s="48" t="s">
        <v>22</v>
      </c>
      <c r="H451" s="48" t="s">
        <v>19</v>
      </c>
      <c r="I451" s="48" t="s">
        <v>24</v>
      </c>
      <c r="J451" s="48" t="s">
        <v>18</v>
      </c>
      <c r="K451" s="48" t="s">
        <v>18</v>
      </c>
      <c r="L451" s="48" t="s">
        <v>20</v>
      </c>
      <c r="M451" s="48" t="s">
        <v>36</v>
      </c>
      <c r="N451" s="48" t="s">
        <v>18</v>
      </c>
      <c r="O451" s="48" t="s">
        <v>24</v>
      </c>
      <c r="P451" s="48" t="s">
        <v>22</v>
      </c>
      <c r="Q451" s="48" t="s">
        <v>38</v>
      </c>
      <c r="R451" s="157"/>
      <c r="S451" s="56" t="s">
        <v>0</v>
      </c>
      <c r="T451" s="1">
        <v>352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53">
        <f t="shared" si="105"/>
        <v>352</v>
      </c>
      <c r="AB451" s="52">
        <v>2018</v>
      </c>
      <c r="AC451" s="9"/>
      <c r="AD451" s="88"/>
      <c r="AE451" s="88"/>
    </row>
    <row r="452" spans="1:31" ht="31.15" hidden="1" customHeight="1" x14ac:dyDescent="0.2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69" t="s">
        <v>216</v>
      </c>
      <c r="S452" s="73" t="s">
        <v>159</v>
      </c>
      <c r="T452" s="3">
        <v>356.5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6">
        <f t="shared" si="105"/>
        <v>356.5</v>
      </c>
      <c r="AB452" s="37">
        <v>2018</v>
      </c>
      <c r="AC452" s="9"/>
      <c r="AD452" s="88"/>
      <c r="AE452" s="88"/>
    </row>
    <row r="453" spans="1:31" ht="15.6" hidden="1" customHeight="1" x14ac:dyDescent="0.25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157" t="s">
        <v>217</v>
      </c>
      <c r="S453" s="56" t="s">
        <v>0</v>
      </c>
      <c r="T453" s="1">
        <f>SUM(T454:T457)</f>
        <v>695.4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0</v>
      </c>
      <c r="AA453" s="53">
        <f t="shared" si="105"/>
        <v>695.4</v>
      </c>
      <c r="AB453" s="52">
        <v>2018</v>
      </c>
      <c r="AC453" s="9"/>
      <c r="AD453" s="88"/>
      <c r="AE453" s="88"/>
    </row>
    <row r="454" spans="1:31" ht="15.6" hidden="1" customHeight="1" x14ac:dyDescent="0.25">
      <c r="A454" s="48" t="s">
        <v>18</v>
      </c>
      <c r="B454" s="48" t="s">
        <v>18</v>
      </c>
      <c r="C454" s="48" t="s">
        <v>21</v>
      </c>
      <c r="D454" s="48" t="s">
        <v>18</v>
      </c>
      <c r="E454" s="48" t="s">
        <v>21</v>
      </c>
      <c r="F454" s="48" t="s">
        <v>18</v>
      </c>
      <c r="G454" s="48" t="s">
        <v>22</v>
      </c>
      <c r="H454" s="48" t="s">
        <v>19</v>
      </c>
      <c r="I454" s="48" t="s">
        <v>24</v>
      </c>
      <c r="J454" s="48" t="s">
        <v>18</v>
      </c>
      <c r="K454" s="48" t="s">
        <v>18</v>
      </c>
      <c r="L454" s="48" t="s">
        <v>20</v>
      </c>
      <c r="M454" s="48" t="s">
        <v>19</v>
      </c>
      <c r="N454" s="48" t="s">
        <v>18</v>
      </c>
      <c r="O454" s="48" t="s">
        <v>24</v>
      </c>
      <c r="P454" s="48" t="s">
        <v>22</v>
      </c>
      <c r="Q454" s="48" t="s">
        <v>43</v>
      </c>
      <c r="R454" s="157"/>
      <c r="S454" s="56" t="s">
        <v>0</v>
      </c>
      <c r="T454" s="1">
        <v>278.2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53">
        <f t="shared" si="105"/>
        <v>278.2</v>
      </c>
      <c r="AB454" s="52">
        <v>2018</v>
      </c>
      <c r="AC454" s="9"/>
      <c r="AD454" s="88"/>
      <c r="AE454" s="88"/>
    </row>
    <row r="455" spans="1:31" ht="15.6" hidden="1" customHeight="1" x14ac:dyDescent="0.25">
      <c r="A455" s="48" t="s">
        <v>18</v>
      </c>
      <c r="B455" s="48" t="s">
        <v>18</v>
      </c>
      <c r="C455" s="48" t="s">
        <v>21</v>
      </c>
      <c r="D455" s="48" t="s">
        <v>18</v>
      </c>
      <c r="E455" s="48" t="s">
        <v>21</v>
      </c>
      <c r="F455" s="48" t="s">
        <v>18</v>
      </c>
      <c r="G455" s="48" t="s">
        <v>22</v>
      </c>
      <c r="H455" s="48" t="s">
        <v>19</v>
      </c>
      <c r="I455" s="48" t="s">
        <v>24</v>
      </c>
      <c r="J455" s="48" t="s">
        <v>18</v>
      </c>
      <c r="K455" s="48" t="s">
        <v>18</v>
      </c>
      <c r="L455" s="48" t="s">
        <v>20</v>
      </c>
      <c r="M455" s="48" t="s">
        <v>36</v>
      </c>
      <c r="N455" s="48" t="s">
        <v>18</v>
      </c>
      <c r="O455" s="48" t="s">
        <v>42</v>
      </c>
      <c r="P455" s="48" t="s">
        <v>22</v>
      </c>
      <c r="Q455" s="48" t="s">
        <v>162</v>
      </c>
      <c r="R455" s="157"/>
      <c r="S455" s="56" t="s">
        <v>0</v>
      </c>
      <c r="T455" s="1">
        <v>20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53">
        <f t="shared" si="105"/>
        <v>20</v>
      </c>
      <c r="AB455" s="52">
        <v>2018</v>
      </c>
      <c r="AC455" s="9"/>
      <c r="AD455" s="88"/>
      <c r="AE455" s="88"/>
    </row>
    <row r="456" spans="1:31" ht="15.6" hidden="1" customHeight="1" x14ac:dyDescent="0.25">
      <c r="A456" s="48" t="s">
        <v>18</v>
      </c>
      <c r="B456" s="48" t="s">
        <v>18</v>
      </c>
      <c r="C456" s="48" t="s">
        <v>21</v>
      </c>
      <c r="D456" s="48" t="s">
        <v>18</v>
      </c>
      <c r="E456" s="48" t="s">
        <v>21</v>
      </c>
      <c r="F456" s="48" t="s">
        <v>18</v>
      </c>
      <c r="G456" s="48" t="s">
        <v>22</v>
      </c>
      <c r="H456" s="48" t="s">
        <v>19</v>
      </c>
      <c r="I456" s="48" t="s">
        <v>24</v>
      </c>
      <c r="J456" s="48" t="s">
        <v>18</v>
      </c>
      <c r="K456" s="48" t="s">
        <v>18</v>
      </c>
      <c r="L456" s="48" t="s">
        <v>20</v>
      </c>
      <c r="M456" s="48" t="s">
        <v>36</v>
      </c>
      <c r="N456" s="48" t="s">
        <v>18</v>
      </c>
      <c r="O456" s="48" t="s">
        <v>24</v>
      </c>
      <c r="P456" s="48" t="s">
        <v>22</v>
      </c>
      <c r="Q456" s="48" t="s">
        <v>44</v>
      </c>
      <c r="R456" s="157"/>
      <c r="S456" s="56" t="s">
        <v>0</v>
      </c>
      <c r="T456" s="1">
        <v>104.3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53">
        <f t="shared" si="105"/>
        <v>104.3</v>
      </c>
      <c r="AB456" s="52">
        <v>2018</v>
      </c>
      <c r="AC456" s="9"/>
      <c r="AD456" s="88"/>
      <c r="AE456" s="88"/>
    </row>
    <row r="457" spans="1:31" ht="15.6" hidden="1" customHeight="1" x14ac:dyDescent="0.25">
      <c r="A457" s="48" t="s">
        <v>18</v>
      </c>
      <c r="B457" s="48" t="s">
        <v>18</v>
      </c>
      <c r="C457" s="48" t="s">
        <v>21</v>
      </c>
      <c r="D457" s="48" t="s">
        <v>18</v>
      </c>
      <c r="E457" s="48" t="s">
        <v>21</v>
      </c>
      <c r="F457" s="48" t="s">
        <v>18</v>
      </c>
      <c r="G457" s="48" t="s">
        <v>22</v>
      </c>
      <c r="H457" s="48" t="s">
        <v>19</v>
      </c>
      <c r="I457" s="48" t="s">
        <v>24</v>
      </c>
      <c r="J457" s="48" t="s">
        <v>18</v>
      </c>
      <c r="K457" s="48" t="s">
        <v>18</v>
      </c>
      <c r="L457" s="48" t="s">
        <v>20</v>
      </c>
      <c r="M457" s="48" t="s">
        <v>36</v>
      </c>
      <c r="N457" s="48" t="s">
        <v>18</v>
      </c>
      <c r="O457" s="48" t="s">
        <v>24</v>
      </c>
      <c r="P457" s="48" t="s">
        <v>22</v>
      </c>
      <c r="Q457" s="48" t="s">
        <v>38</v>
      </c>
      <c r="R457" s="157"/>
      <c r="S457" s="56" t="s">
        <v>0</v>
      </c>
      <c r="T457" s="1">
        <v>292.89999999999998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53">
        <f t="shared" si="105"/>
        <v>292.89999999999998</v>
      </c>
      <c r="AB457" s="52">
        <v>2018</v>
      </c>
      <c r="AC457" s="9"/>
      <c r="AD457" s="88"/>
      <c r="AE457" s="88"/>
    </row>
    <row r="458" spans="1:31" ht="31.15" hidden="1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67" t="s">
        <v>218</v>
      </c>
      <c r="S458" s="78" t="s">
        <v>164</v>
      </c>
      <c r="T458" s="3">
        <v>190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6">
        <f t="shared" si="105"/>
        <v>190</v>
      </c>
      <c r="AB458" s="37">
        <v>2018</v>
      </c>
      <c r="AC458" s="9"/>
      <c r="AD458" s="88"/>
      <c r="AE458" s="88"/>
    </row>
    <row r="459" spans="1:31" ht="15.6" hidden="1" customHeight="1" x14ac:dyDescent="0.25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157" t="s">
        <v>219</v>
      </c>
      <c r="S459" s="56" t="s">
        <v>0</v>
      </c>
      <c r="T459" s="1">
        <f>SUM(T460:T464)</f>
        <v>836.4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53">
        <f t="shared" si="105"/>
        <v>836.4</v>
      </c>
      <c r="AB459" s="52">
        <v>2018</v>
      </c>
      <c r="AC459" s="9"/>
      <c r="AD459" s="88"/>
      <c r="AE459" s="88"/>
    </row>
    <row r="460" spans="1:31" ht="15.6" hidden="1" customHeight="1" x14ac:dyDescent="0.25">
      <c r="A460" s="48" t="s">
        <v>18</v>
      </c>
      <c r="B460" s="48" t="s">
        <v>18</v>
      </c>
      <c r="C460" s="48" t="s">
        <v>21</v>
      </c>
      <c r="D460" s="48" t="s">
        <v>18</v>
      </c>
      <c r="E460" s="48" t="s">
        <v>21</v>
      </c>
      <c r="F460" s="48" t="s">
        <v>18</v>
      </c>
      <c r="G460" s="48" t="s">
        <v>22</v>
      </c>
      <c r="H460" s="48" t="s">
        <v>19</v>
      </c>
      <c r="I460" s="48" t="s">
        <v>24</v>
      </c>
      <c r="J460" s="48" t="s">
        <v>18</v>
      </c>
      <c r="K460" s="48" t="s">
        <v>18</v>
      </c>
      <c r="L460" s="48" t="s">
        <v>20</v>
      </c>
      <c r="M460" s="48" t="s">
        <v>19</v>
      </c>
      <c r="N460" s="48" t="s">
        <v>18</v>
      </c>
      <c r="O460" s="48" t="s">
        <v>24</v>
      </c>
      <c r="P460" s="48" t="s">
        <v>22</v>
      </c>
      <c r="Q460" s="48" t="s">
        <v>43</v>
      </c>
      <c r="R460" s="157"/>
      <c r="S460" s="56" t="s">
        <v>0</v>
      </c>
      <c r="T460" s="1">
        <v>334.5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53">
        <f t="shared" si="105"/>
        <v>334.5</v>
      </c>
      <c r="AB460" s="52">
        <v>2018</v>
      </c>
      <c r="AC460" s="9"/>
      <c r="AD460" s="88"/>
      <c r="AE460" s="88"/>
    </row>
    <row r="461" spans="1:31" ht="15.6" hidden="1" customHeight="1" x14ac:dyDescent="0.25">
      <c r="A461" s="48" t="s">
        <v>18</v>
      </c>
      <c r="B461" s="48" t="s">
        <v>18</v>
      </c>
      <c r="C461" s="48" t="s">
        <v>21</v>
      </c>
      <c r="D461" s="48" t="s">
        <v>18</v>
      </c>
      <c r="E461" s="48" t="s">
        <v>21</v>
      </c>
      <c r="F461" s="48" t="s">
        <v>18</v>
      </c>
      <c r="G461" s="48" t="s">
        <v>22</v>
      </c>
      <c r="H461" s="48" t="s">
        <v>19</v>
      </c>
      <c r="I461" s="48" t="s">
        <v>24</v>
      </c>
      <c r="J461" s="48" t="s">
        <v>18</v>
      </c>
      <c r="K461" s="48" t="s">
        <v>18</v>
      </c>
      <c r="L461" s="48" t="s">
        <v>20</v>
      </c>
      <c r="M461" s="48" t="s">
        <v>19</v>
      </c>
      <c r="N461" s="48" t="s">
        <v>18</v>
      </c>
      <c r="O461" s="48" t="s">
        <v>42</v>
      </c>
      <c r="P461" s="48" t="s">
        <v>22</v>
      </c>
      <c r="Q461" s="48" t="s">
        <v>162</v>
      </c>
      <c r="R461" s="157"/>
      <c r="S461" s="56" t="s">
        <v>0</v>
      </c>
      <c r="T461" s="1">
        <v>30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53">
        <f>SUM(T461:Y461)</f>
        <v>30</v>
      </c>
      <c r="AB461" s="52">
        <v>2018</v>
      </c>
      <c r="AC461" s="9"/>
      <c r="AD461" s="88"/>
      <c r="AE461" s="88"/>
    </row>
    <row r="462" spans="1:31" ht="15.6" hidden="1" customHeight="1" x14ac:dyDescent="0.25">
      <c r="A462" s="48" t="s">
        <v>18</v>
      </c>
      <c r="B462" s="48" t="s">
        <v>18</v>
      </c>
      <c r="C462" s="48" t="s">
        <v>21</v>
      </c>
      <c r="D462" s="48" t="s">
        <v>18</v>
      </c>
      <c r="E462" s="48" t="s">
        <v>21</v>
      </c>
      <c r="F462" s="48" t="s">
        <v>18</v>
      </c>
      <c r="G462" s="48" t="s">
        <v>22</v>
      </c>
      <c r="H462" s="48" t="s">
        <v>19</v>
      </c>
      <c r="I462" s="48" t="s">
        <v>24</v>
      </c>
      <c r="J462" s="48" t="s">
        <v>18</v>
      </c>
      <c r="K462" s="48" t="s">
        <v>18</v>
      </c>
      <c r="L462" s="48" t="s">
        <v>20</v>
      </c>
      <c r="M462" s="48" t="s">
        <v>36</v>
      </c>
      <c r="N462" s="48" t="s">
        <v>18</v>
      </c>
      <c r="O462" s="48" t="s">
        <v>24</v>
      </c>
      <c r="P462" s="48" t="s">
        <v>22</v>
      </c>
      <c r="Q462" s="48" t="s">
        <v>44</v>
      </c>
      <c r="R462" s="157"/>
      <c r="S462" s="56" t="s">
        <v>0</v>
      </c>
      <c r="T462" s="1">
        <v>16.399999999999999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53">
        <f t="shared" si="105"/>
        <v>16.399999999999999</v>
      </c>
      <c r="AB462" s="52">
        <v>2018</v>
      </c>
      <c r="AC462" s="9"/>
      <c r="AD462" s="88"/>
      <c r="AE462" s="88"/>
    </row>
    <row r="463" spans="1:31" ht="15.6" hidden="1" customHeight="1" x14ac:dyDescent="0.25">
      <c r="A463" s="48" t="s">
        <v>18</v>
      </c>
      <c r="B463" s="48" t="s">
        <v>18</v>
      </c>
      <c r="C463" s="48" t="s">
        <v>21</v>
      </c>
      <c r="D463" s="48" t="s">
        <v>18</v>
      </c>
      <c r="E463" s="48" t="s">
        <v>21</v>
      </c>
      <c r="F463" s="48" t="s">
        <v>18</v>
      </c>
      <c r="G463" s="48" t="s">
        <v>22</v>
      </c>
      <c r="H463" s="48" t="s">
        <v>19</v>
      </c>
      <c r="I463" s="48" t="s">
        <v>24</v>
      </c>
      <c r="J463" s="48" t="s">
        <v>18</v>
      </c>
      <c r="K463" s="48" t="s">
        <v>18</v>
      </c>
      <c r="L463" s="48" t="s">
        <v>20</v>
      </c>
      <c r="M463" s="48" t="s">
        <v>36</v>
      </c>
      <c r="N463" s="48" t="s">
        <v>18</v>
      </c>
      <c r="O463" s="48" t="s">
        <v>24</v>
      </c>
      <c r="P463" s="48" t="s">
        <v>22</v>
      </c>
      <c r="Q463" s="48" t="s">
        <v>44</v>
      </c>
      <c r="R463" s="157"/>
      <c r="S463" s="56" t="s">
        <v>0</v>
      </c>
      <c r="T463" s="1">
        <v>125.5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53">
        <f t="shared" si="105"/>
        <v>125.5</v>
      </c>
      <c r="AB463" s="52">
        <v>2018</v>
      </c>
      <c r="AC463" s="9"/>
      <c r="AD463" s="88"/>
      <c r="AE463" s="88"/>
    </row>
    <row r="464" spans="1:31" ht="15.6" hidden="1" customHeight="1" x14ac:dyDescent="0.25">
      <c r="A464" s="48" t="s">
        <v>18</v>
      </c>
      <c r="B464" s="48" t="s">
        <v>18</v>
      </c>
      <c r="C464" s="48" t="s">
        <v>21</v>
      </c>
      <c r="D464" s="48" t="s">
        <v>18</v>
      </c>
      <c r="E464" s="48" t="s">
        <v>21</v>
      </c>
      <c r="F464" s="48" t="s">
        <v>18</v>
      </c>
      <c r="G464" s="48" t="s">
        <v>22</v>
      </c>
      <c r="H464" s="48" t="s">
        <v>19</v>
      </c>
      <c r="I464" s="48" t="s">
        <v>24</v>
      </c>
      <c r="J464" s="48" t="s">
        <v>18</v>
      </c>
      <c r="K464" s="48" t="s">
        <v>18</v>
      </c>
      <c r="L464" s="48" t="s">
        <v>20</v>
      </c>
      <c r="M464" s="48" t="s">
        <v>36</v>
      </c>
      <c r="N464" s="48" t="s">
        <v>18</v>
      </c>
      <c r="O464" s="48" t="s">
        <v>24</v>
      </c>
      <c r="P464" s="48" t="s">
        <v>22</v>
      </c>
      <c r="Q464" s="48" t="s">
        <v>38</v>
      </c>
      <c r="R464" s="157"/>
      <c r="S464" s="56" t="s">
        <v>0</v>
      </c>
      <c r="T464" s="1">
        <v>330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53">
        <f t="shared" si="105"/>
        <v>330</v>
      </c>
      <c r="AB464" s="52">
        <v>2018</v>
      </c>
      <c r="AC464" s="9"/>
      <c r="AD464" s="88"/>
      <c r="AE464" s="88"/>
    </row>
    <row r="465" spans="1:31" ht="27.6" hidden="1" customHeight="1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77" t="s">
        <v>220</v>
      </c>
      <c r="S465" s="73" t="s">
        <v>8</v>
      </c>
      <c r="T465" s="40">
        <v>1</v>
      </c>
      <c r="U465" s="40">
        <v>0</v>
      </c>
      <c r="V465" s="40">
        <v>0</v>
      </c>
      <c r="W465" s="40">
        <v>0</v>
      </c>
      <c r="X465" s="40">
        <v>0</v>
      </c>
      <c r="Y465" s="40">
        <v>0</v>
      </c>
      <c r="Z465" s="40">
        <v>0</v>
      </c>
      <c r="AA465" s="6">
        <f t="shared" si="105"/>
        <v>1</v>
      </c>
      <c r="AB465" s="37">
        <v>2018</v>
      </c>
      <c r="AC465" s="9"/>
      <c r="AD465" s="88"/>
      <c r="AE465" s="88"/>
    </row>
    <row r="466" spans="1:31" x14ac:dyDescent="0.25">
      <c r="A466" s="48" t="s">
        <v>18</v>
      </c>
      <c r="B466" s="48" t="s">
        <v>18</v>
      </c>
      <c r="C466" s="48" t="s">
        <v>25</v>
      </c>
      <c r="D466" s="48" t="s">
        <v>18</v>
      </c>
      <c r="E466" s="48" t="s">
        <v>18</v>
      </c>
      <c r="F466" s="48" t="s">
        <v>18</v>
      </c>
      <c r="G466" s="48" t="s">
        <v>18</v>
      </c>
      <c r="H466" s="48" t="s">
        <v>19</v>
      </c>
      <c r="I466" s="48" t="s">
        <v>24</v>
      </c>
      <c r="J466" s="48" t="s">
        <v>18</v>
      </c>
      <c r="K466" s="48" t="s">
        <v>18</v>
      </c>
      <c r="L466" s="48" t="s">
        <v>20</v>
      </c>
      <c r="M466" s="48" t="s">
        <v>18</v>
      </c>
      <c r="N466" s="48" t="s">
        <v>18</v>
      </c>
      <c r="O466" s="48" t="s">
        <v>18</v>
      </c>
      <c r="P466" s="48" t="s">
        <v>18</v>
      </c>
      <c r="Q466" s="48" t="s">
        <v>18</v>
      </c>
      <c r="R466" s="163" t="s">
        <v>125</v>
      </c>
      <c r="S466" s="166" t="s">
        <v>0</v>
      </c>
      <c r="T466" s="53">
        <f>SUM(T467:T469)</f>
        <v>6913.9</v>
      </c>
      <c r="U466" s="53">
        <f>SUM(U467:U471)</f>
        <v>3765.5</v>
      </c>
      <c r="V466" s="53">
        <f>SUM(V467:V471)</f>
        <v>1745.5</v>
      </c>
      <c r="W466" s="53">
        <f>SUM(W467:W474)</f>
        <v>1838.6999999999998</v>
      </c>
      <c r="X466" s="53">
        <f>SUM(X467:X474)</f>
        <v>2251.1000000000004</v>
      </c>
      <c r="Y466" s="53">
        <f>SUM(Y467:Y475)</f>
        <v>6199.4</v>
      </c>
      <c r="Z466" s="53">
        <f>SUM(Z467:Z475)</f>
        <v>15996.400000000001</v>
      </c>
      <c r="AA466" s="53">
        <f>SUM(T466:Z466)</f>
        <v>38710.5</v>
      </c>
      <c r="AB466" s="52">
        <v>2023</v>
      </c>
      <c r="AC466" s="111"/>
      <c r="AD466" s="88"/>
      <c r="AE466" s="88"/>
    </row>
    <row r="467" spans="1:31" x14ac:dyDescent="0.25">
      <c r="A467" s="48" t="s">
        <v>18</v>
      </c>
      <c r="B467" s="48" t="s">
        <v>18</v>
      </c>
      <c r="C467" s="48" t="s">
        <v>25</v>
      </c>
      <c r="D467" s="48" t="s">
        <v>18</v>
      </c>
      <c r="E467" s="48" t="s">
        <v>18</v>
      </c>
      <c r="F467" s="48" t="s">
        <v>18</v>
      </c>
      <c r="G467" s="48" t="s">
        <v>18</v>
      </c>
      <c r="H467" s="48" t="s">
        <v>19</v>
      </c>
      <c r="I467" s="48" t="s">
        <v>24</v>
      </c>
      <c r="J467" s="48" t="s">
        <v>18</v>
      </c>
      <c r="K467" s="48" t="s">
        <v>18</v>
      </c>
      <c r="L467" s="48" t="s">
        <v>20</v>
      </c>
      <c r="M467" s="48" t="s">
        <v>19</v>
      </c>
      <c r="N467" s="48" t="s">
        <v>18</v>
      </c>
      <c r="O467" s="48" t="s">
        <v>24</v>
      </c>
      <c r="P467" s="48" t="s">
        <v>22</v>
      </c>
      <c r="Q467" s="48" t="s">
        <v>43</v>
      </c>
      <c r="R467" s="164"/>
      <c r="S467" s="167"/>
      <c r="T467" s="1">
        <v>2886.9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53">
        <f t="shared" ref="AA467:AA475" si="106">SUM(T467:Z467)</f>
        <v>2886.9</v>
      </c>
      <c r="AB467" s="52">
        <v>2018</v>
      </c>
      <c r="AC467" s="111"/>
      <c r="AD467" s="88"/>
      <c r="AE467" s="88"/>
    </row>
    <row r="468" spans="1:31" x14ac:dyDescent="0.25">
      <c r="A468" s="48" t="s">
        <v>18</v>
      </c>
      <c r="B468" s="48" t="s">
        <v>18</v>
      </c>
      <c r="C468" s="48" t="s">
        <v>25</v>
      </c>
      <c r="D468" s="48" t="s">
        <v>18</v>
      </c>
      <c r="E468" s="48" t="s">
        <v>18</v>
      </c>
      <c r="F468" s="48" t="s">
        <v>18</v>
      </c>
      <c r="G468" s="48" t="s">
        <v>18</v>
      </c>
      <c r="H468" s="48" t="s">
        <v>19</v>
      </c>
      <c r="I468" s="48" t="s">
        <v>24</v>
      </c>
      <c r="J468" s="48" t="s">
        <v>18</v>
      </c>
      <c r="K468" s="48" t="s">
        <v>18</v>
      </c>
      <c r="L468" s="48" t="s">
        <v>20</v>
      </c>
      <c r="M468" s="48" t="s">
        <v>36</v>
      </c>
      <c r="N468" s="48" t="s">
        <v>18</v>
      </c>
      <c r="O468" s="48" t="s">
        <v>24</v>
      </c>
      <c r="P468" s="48" t="s">
        <v>22</v>
      </c>
      <c r="Q468" s="48" t="s">
        <v>44</v>
      </c>
      <c r="R468" s="164"/>
      <c r="S468" s="167"/>
      <c r="T468" s="1">
        <v>1641.4</v>
      </c>
      <c r="U468" s="1">
        <v>868</v>
      </c>
      <c r="V468" s="1">
        <v>501.9</v>
      </c>
      <c r="W468" s="1">
        <v>0</v>
      </c>
      <c r="X468" s="1">
        <v>0</v>
      </c>
      <c r="Y468" s="1">
        <v>0</v>
      </c>
      <c r="Z468" s="1">
        <v>0</v>
      </c>
      <c r="AA468" s="53">
        <f t="shared" si="106"/>
        <v>3011.3</v>
      </c>
      <c r="AB468" s="52">
        <v>2020</v>
      </c>
      <c r="AC468" s="111"/>
      <c r="AD468" s="88"/>
      <c r="AE468" s="88"/>
    </row>
    <row r="469" spans="1:31" x14ac:dyDescent="0.25">
      <c r="A469" s="48" t="s">
        <v>18</v>
      </c>
      <c r="B469" s="48" t="s">
        <v>18</v>
      </c>
      <c r="C469" s="48" t="s">
        <v>25</v>
      </c>
      <c r="D469" s="48" t="s">
        <v>18</v>
      </c>
      <c r="E469" s="48" t="s">
        <v>18</v>
      </c>
      <c r="F469" s="48" t="s">
        <v>18</v>
      </c>
      <c r="G469" s="48" t="s">
        <v>18</v>
      </c>
      <c r="H469" s="48" t="s">
        <v>19</v>
      </c>
      <c r="I469" s="48" t="s">
        <v>24</v>
      </c>
      <c r="J469" s="48" t="s">
        <v>18</v>
      </c>
      <c r="K469" s="48" t="s">
        <v>18</v>
      </c>
      <c r="L469" s="48" t="s">
        <v>20</v>
      </c>
      <c r="M469" s="48" t="s">
        <v>36</v>
      </c>
      <c r="N469" s="48" t="s">
        <v>18</v>
      </c>
      <c r="O469" s="48" t="s">
        <v>24</v>
      </c>
      <c r="P469" s="48" t="s">
        <v>22</v>
      </c>
      <c r="Q469" s="48" t="s">
        <v>38</v>
      </c>
      <c r="R469" s="164"/>
      <c r="S469" s="167"/>
      <c r="T469" s="1">
        <v>2385.6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53">
        <f t="shared" si="106"/>
        <v>2385.6</v>
      </c>
      <c r="AB469" s="52">
        <v>2018</v>
      </c>
      <c r="AC469" s="111"/>
      <c r="AD469" s="88"/>
      <c r="AE469" s="88"/>
    </row>
    <row r="470" spans="1:31" x14ac:dyDescent="0.25">
      <c r="A470" s="48" t="s">
        <v>18</v>
      </c>
      <c r="B470" s="48" t="s">
        <v>18</v>
      </c>
      <c r="C470" s="48" t="s">
        <v>25</v>
      </c>
      <c r="D470" s="48" t="s">
        <v>18</v>
      </c>
      <c r="E470" s="48" t="s">
        <v>18</v>
      </c>
      <c r="F470" s="48" t="s">
        <v>18</v>
      </c>
      <c r="G470" s="48" t="s">
        <v>18</v>
      </c>
      <c r="H470" s="48" t="s">
        <v>19</v>
      </c>
      <c r="I470" s="48" t="s">
        <v>24</v>
      </c>
      <c r="J470" s="48" t="s">
        <v>18</v>
      </c>
      <c r="K470" s="48" t="s">
        <v>18</v>
      </c>
      <c r="L470" s="48" t="s">
        <v>20</v>
      </c>
      <c r="M470" s="48" t="s">
        <v>19</v>
      </c>
      <c r="N470" s="48" t="s">
        <v>18</v>
      </c>
      <c r="O470" s="48" t="s">
        <v>24</v>
      </c>
      <c r="P470" s="48" t="s">
        <v>22</v>
      </c>
      <c r="Q470" s="48" t="s">
        <v>18</v>
      </c>
      <c r="R470" s="164"/>
      <c r="S470" s="167"/>
      <c r="T470" s="1">
        <v>0</v>
      </c>
      <c r="U470" s="1">
        <f>1977-1.3</f>
        <v>1975.7</v>
      </c>
      <c r="V470" s="1">
        <f>968.2-585.9</f>
        <v>382.30000000000007</v>
      </c>
      <c r="W470" s="1">
        <v>0</v>
      </c>
      <c r="X470" s="1">
        <v>0</v>
      </c>
      <c r="Y470" s="1">
        <v>0</v>
      </c>
      <c r="Z470" s="1">
        <v>0</v>
      </c>
      <c r="AA470" s="53">
        <f t="shared" si="106"/>
        <v>2358</v>
      </c>
      <c r="AB470" s="52">
        <v>2020</v>
      </c>
      <c r="AC470" s="111"/>
      <c r="AD470" s="88"/>
      <c r="AE470" s="88"/>
    </row>
    <row r="471" spans="1:31" x14ac:dyDescent="0.25">
      <c r="A471" s="48" t="s">
        <v>18</v>
      </c>
      <c r="B471" s="48" t="s">
        <v>18</v>
      </c>
      <c r="C471" s="48" t="s">
        <v>25</v>
      </c>
      <c r="D471" s="48" t="s">
        <v>18</v>
      </c>
      <c r="E471" s="48" t="s">
        <v>18</v>
      </c>
      <c r="F471" s="48" t="s">
        <v>18</v>
      </c>
      <c r="G471" s="48" t="s">
        <v>18</v>
      </c>
      <c r="H471" s="48" t="s">
        <v>19</v>
      </c>
      <c r="I471" s="48" t="s">
        <v>24</v>
      </c>
      <c r="J471" s="48" t="s">
        <v>18</v>
      </c>
      <c r="K471" s="48" t="s">
        <v>18</v>
      </c>
      <c r="L471" s="48" t="s">
        <v>20</v>
      </c>
      <c r="M471" s="48" t="s">
        <v>36</v>
      </c>
      <c r="N471" s="48" t="s">
        <v>18</v>
      </c>
      <c r="O471" s="48" t="s">
        <v>24</v>
      </c>
      <c r="P471" s="48" t="s">
        <v>22</v>
      </c>
      <c r="Q471" s="48" t="s">
        <v>18</v>
      </c>
      <c r="R471" s="164"/>
      <c r="S471" s="167"/>
      <c r="T471" s="1">
        <v>0</v>
      </c>
      <c r="U471" s="1">
        <f>1119.1-197.3</f>
        <v>921.8</v>
      </c>
      <c r="V471" s="1">
        <f>466.5+457.8-63</f>
        <v>861.3</v>
      </c>
      <c r="W471" s="1">
        <v>0</v>
      </c>
      <c r="X471" s="1">
        <v>0</v>
      </c>
      <c r="Y471" s="1">
        <v>0</v>
      </c>
      <c r="Z471" s="1">
        <v>0</v>
      </c>
      <c r="AA471" s="53">
        <f t="shared" si="106"/>
        <v>1783.1</v>
      </c>
      <c r="AB471" s="52">
        <v>2020</v>
      </c>
      <c r="AC471" s="111"/>
      <c r="AD471" s="88"/>
      <c r="AE471" s="88"/>
    </row>
    <row r="472" spans="1:31" x14ac:dyDescent="0.25">
      <c r="A472" s="48" t="s">
        <v>18</v>
      </c>
      <c r="B472" s="48" t="s">
        <v>18</v>
      </c>
      <c r="C472" s="48" t="s">
        <v>25</v>
      </c>
      <c r="D472" s="48" t="s">
        <v>18</v>
      </c>
      <c r="E472" s="48" t="s">
        <v>18</v>
      </c>
      <c r="F472" s="48" t="s">
        <v>18</v>
      </c>
      <c r="G472" s="48" t="s">
        <v>18</v>
      </c>
      <c r="H472" s="48" t="s">
        <v>19</v>
      </c>
      <c r="I472" s="48" t="s">
        <v>24</v>
      </c>
      <c r="J472" s="48" t="s">
        <v>18</v>
      </c>
      <c r="K472" s="48" t="s">
        <v>18</v>
      </c>
      <c r="L472" s="48" t="s">
        <v>20</v>
      </c>
      <c r="M472" s="48" t="s">
        <v>36</v>
      </c>
      <c r="N472" s="48" t="s">
        <v>42</v>
      </c>
      <c r="O472" s="48" t="s">
        <v>18</v>
      </c>
      <c r="P472" s="48" t="s">
        <v>18</v>
      </c>
      <c r="Q472" s="48" t="s">
        <v>18</v>
      </c>
      <c r="R472" s="164"/>
      <c r="S472" s="167"/>
      <c r="T472" s="1">
        <v>0</v>
      </c>
      <c r="U472" s="1">
        <v>0</v>
      </c>
      <c r="V472" s="1">
        <v>0</v>
      </c>
      <c r="W472" s="1">
        <v>534.9</v>
      </c>
      <c r="X472" s="1">
        <f>723.3-466.9</f>
        <v>256.39999999999998</v>
      </c>
      <c r="Y472" s="1">
        <v>2110.6999999999998</v>
      </c>
      <c r="Z472" s="1">
        <v>2304.1999999999998</v>
      </c>
      <c r="AA472" s="53">
        <f t="shared" si="106"/>
        <v>5206.2</v>
      </c>
      <c r="AB472" s="52">
        <v>2024</v>
      </c>
      <c r="AC472" s="111"/>
      <c r="AD472" s="88"/>
      <c r="AE472" s="88"/>
    </row>
    <row r="473" spans="1:31" x14ac:dyDescent="0.25">
      <c r="A473" s="48" t="s">
        <v>18</v>
      </c>
      <c r="B473" s="48" t="s">
        <v>18</v>
      </c>
      <c r="C473" s="48" t="s">
        <v>25</v>
      </c>
      <c r="D473" s="48" t="s">
        <v>18</v>
      </c>
      <c r="E473" s="48" t="s">
        <v>18</v>
      </c>
      <c r="F473" s="48" t="s">
        <v>18</v>
      </c>
      <c r="G473" s="48" t="s">
        <v>18</v>
      </c>
      <c r="H473" s="48" t="s">
        <v>19</v>
      </c>
      <c r="I473" s="48" t="s">
        <v>24</v>
      </c>
      <c r="J473" s="48" t="s">
        <v>18</v>
      </c>
      <c r="K473" s="48" t="s">
        <v>18</v>
      </c>
      <c r="L473" s="48" t="s">
        <v>20</v>
      </c>
      <c r="M473" s="48" t="s">
        <v>19</v>
      </c>
      <c r="N473" s="48" t="s">
        <v>42</v>
      </c>
      <c r="O473" s="48" t="s">
        <v>18</v>
      </c>
      <c r="P473" s="48" t="s">
        <v>18</v>
      </c>
      <c r="Q473" s="48" t="s">
        <v>18</v>
      </c>
      <c r="R473" s="164"/>
      <c r="S473" s="167"/>
      <c r="T473" s="1">
        <v>0</v>
      </c>
      <c r="U473" s="1">
        <v>0</v>
      </c>
      <c r="V473" s="1">
        <v>0</v>
      </c>
      <c r="W473" s="1">
        <v>904.4</v>
      </c>
      <c r="X473" s="1">
        <v>1358.9</v>
      </c>
      <c r="Y473" s="1">
        <f>3561.6-507.7-30.3</f>
        <v>3023.6</v>
      </c>
      <c r="Z473" s="1">
        <v>10874.5</v>
      </c>
      <c r="AA473" s="53">
        <f t="shared" si="106"/>
        <v>16161.4</v>
      </c>
      <c r="AB473" s="52">
        <v>2024</v>
      </c>
      <c r="AC473" s="111"/>
      <c r="AD473" s="88"/>
      <c r="AE473" s="88"/>
    </row>
    <row r="474" spans="1:31" x14ac:dyDescent="0.25">
      <c r="A474" s="48" t="s">
        <v>18</v>
      </c>
      <c r="B474" s="48" t="s">
        <v>18</v>
      </c>
      <c r="C474" s="48" t="s">
        <v>25</v>
      </c>
      <c r="D474" s="48" t="s">
        <v>18</v>
      </c>
      <c r="E474" s="48" t="s">
        <v>18</v>
      </c>
      <c r="F474" s="48" t="s">
        <v>18</v>
      </c>
      <c r="G474" s="48" t="s">
        <v>18</v>
      </c>
      <c r="H474" s="48" t="s">
        <v>19</v>
      </c>
      <c r="I474" s="48" t="s">
        <v>24</v>
      </c>
      <c r="J474" s="48" t="s">
        <v>18</v>
      </c>
      <c r="K474" s="48" t="s">
        <v>18</v>
      </c>
      <c r="L474" s="48" t="s">
        <v>20</v>
      </c>
      <c r="M474" s="48" t="s">
        <v>36</v>
      </c>
      <c r="N474" s="48" t="s">
        <v>42</v>
      </c>
      <c r="O474" s="48" t="s">
        <v>44</v>
      </c>
      <c r="P474" s="48" t="s">
        <v>18</v>
      </c>
      <c r="Q474" s="48" t="s">
        <v>18</v>
      </c>
      <c r="R474" s="164"/>
      <c r="S474" s="167"/>
      <c r="T474" s="1">
        <v>0</v>
      </c>
      <c r="U474" s="1">
        <v>0</v>
      </c>
      <c r="V474" s="1">
        <v>0</v>
      </c>
      <c r="W474" s="1">
        <v>399.4</v>
      </c>
      <c r="X474" s="1">
        <v>635.79999999999995</v>
      </c>
      <c r="Y474" s="1">
        <v>1065.0999999999999</v>
      </c>
      <c r="Z474" s="1">
        <v>2667.7</v>
      </c>
      <c r="AA474" s="53">
        <f t="shared" si="106"/>
        <v>4768</v>
      </c>
      <c r="AB474" s="52">
        <v>2024</v>
      </c>
      <c r="AC474" s="111"/>
      <c r="AD474" s="88"/>
      <c r="AE474" s="88"/>
    </row>
    <row r="475" spans="1:31" x14ac:dyDescent="0.25">
      <c r="A475" s="48" t="s">
        <v>18</v>
      </c>
      <c r="B475" s="48" t="s">
        <v>18</v>
      </c>
      <c r="C475" s="48" t="s">
        <v>25</v>
      </c>
      <c r="D475" s="48" t="s">
        <v>18</v>
      </c>
      <c r="E475" s="48" t="s">
        <v>18</v>
      </c>
      <c r="F475" s="48" t="s">
        <v>18</v>
      </c>
      <c r="G475" s="48" t="s">
        <v>18</v>
      </c>
      <c r="H475" s="48" t="s">
        <v>19</v>
      </c>
      <c r="I475" s="48" t="s">
        <v>24</v>
      </c>
      <c r="J475" s="48" t="s">
        <v>18</v>
      </c>
      <c r="K475" s="48" t="s">
        <v>18</v>
      </c>
      <c r="L475" s="48" t="s">
        <v>20</v>
      </c>
      <c r="M475" s="48" t="s">
        <v>19</v>
      </c>
      <c r="N475" s="48" t="s">
        <v>42</v>
      </c>
      <c r="O475" s="48" t="s">
        <v>22</v>
      </c>
      <c r="P475" s="48" t="s">
        <v>18</v>
      </c>
      <c r="Q475" s="48" t="s">
        <v>18</v>
      </c>
      <c r="R475" s="165"/>
      <c r="S475" s="168"/>
      <c r="T475" s="1">
        <v>0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150</v>
      </c>
      <c r="AA475" s="53">
        <f t="shared" si="106"/>
        <v>150</v>
      </c>
      <c r="AB475" s="52">
        <v>2024</v>
      </c>
      <c r="AC475" s="111"/>
      <c r="AD475" s="88"/>
      <c r="AE475" s="88"/>
    </row>
    <row r="476" spans="1:31" ht="31.5" customHeight="1" x14ac:dyDescent="0.2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69" t="s">
        <v>273</v>
      </c>
      <c r="S476" s="55" t="s">
        <v>50</v>
      </c>
      <c r="T476" s="3">
        <v>1.5</v>
      </c>
      <c r="U476" s="3">
        <v>0.8</v>
      </c>
      <c r="V476" s="3">
        <v>0.6</v>
      </c>
      <c r="W476" s="3">
        <v>0.4</v>
      </c>
      <c r="X476" s="3">
        <v>0.8</v>
      </c>
      <c r="Y476" s="3">
        <v>2.9</v>
      </c>
      <c r="Z476" s="3">
        <v>5.8</v>
      </c>
      <c r="AA476" s="6">
        <f t="shared" ref="AA476:AA478" si="107">SUM(T476:Y476)</f>
        <v>7</v>
      </c>
      <c r="AB476" s="37">
        <v>2024</v>
      </c>
      <c r="AC476" s="115"/>
      <c r="AD476" s="88"/>
      <c r="AE476" s="88"/>
    </row>
    <row r="477" spans="1:31" ht="46.9" hidden="1" customHeight="1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69" t="s">
        <v>166</v>
      </c>
      <c r="S477" s="73" t="s">
        <v>165</v>
      </c>
      <c r="T477" s="3"/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6">
        <f t="shared" si="107"/>
        <v>0</v>
      </c>
      <c r="AB477" s="37">
        <v>2024</v>
      </c>
      <c r="AC477" s="115"/>
      <c r="AD477" s="88"/>
      <c r="AE477" s="88"/>
    </row>
    <row r="478" spans="1:31" ht="31.5" customHeight="1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69" t="s">
        <v>274</v>
      </c>
      <c r="S478" s="73" t="s">
        <v>48</v>
      </c>
      <c r="T478" s="40">
        <v>10</v>
      </c>
      <c r="U478" s="40">
        <v>5</v>
      </c>
      <c r="V478" s="40">
        <v>2</v>
      </c>
      <c r="W478" s="40">
        <v>2</v>
      </c>
      <c r="X478" s="40">
        <v>2</v>
      </c>
      <c r="Y478" s="40">
        <v>3</v>
      </c>
      <c r="Z478" s="40">
        <v>4</v>
      </c>
      <c r="AA478" s="43">
        <f t="shared" si="107"/>
        <v>24</v>
      </c>
      <c r="AB478" s="37">
        <v>2024</v>
      </c>
      <c r="AC478" s="115"/>
      <c r="AD478" s="88"/>
      <c r="AE478" s="88"/>
    </row>
    <row r="479" spans="1:31" ht="31.5" x14ac:dyDescent="0.25">
      <c r="A479" s="48" t="s">
        <v>18</v>
      </c>
      <c r="B479" s="48" t="s">
        <v>19</v>
      </c>
      <c r="C479" s="48" t="s">
        <v>20</v>
      </c>
      <c r="D479" s="48" t="s">
        <v>18</v>
      </c>
      <c r="E479" s="48" t="s">
        <v>24</v>
      </c>
      <c r="F479" s="48" t="s">
        <v>18</v>
      </c>
      <c r="G479" s="48" t="s">
        <v>42</v>
      </c>
      <c r="H479" s="48" t="s">
        <v>19</v>
      </c>
      <c r="I479" s="48" t="s">
        <v>24</v>
      </c>
      <c r="J479" s="48" t="s">
        <v>18</v>
      </c>
      <c r="K479" s="48" t="s">
        <v>18</v>
      </c>
      <c r="L479" s="48" t="s">
        <v>20</v>
      </c>
      <c r="M479" s="48" t="s">
        <v>36</v>
      </c>
      <c r="N479" s="48" t="s">
        <v>42</v>
      </c>
      <c r="O479" s="48" t="s">
        <v>18</v>
      </c>
      <c r="P479" s="48" t="s">
        <v>18</v>
      </c>
      <c r="Q479" s="48" t="s">
        <v>18</v>
      </c>
      <c r="R479" s="66" t="s">
        <v>125</v>
      </c>
      <c r="S479" s="49" t="s">
        <v>0</v>
      </c>
      <c r="T479" s="1">
        <f>10000-9745-255</f>
        <v>0</v>
      </c>
      <c r="U479" s="1">
        <f>226.8-200-26.8</f>
        <v>0</v>
      </c>
      <c r="V479" s="1">
        <f>8228.3-8228.3</f>
        <v>0</v>
      </c>
      <c r="W479" s="1">
        <v>0</v>
      </c>
      <c r="X479" s="1">
        <f t="shared" ref="X479" si="108">8228.3-8228.3</f>
        <v>0</v>
      </c>
      <c r="Y479" s="1">
        <f>8000-6426.6-1573.4</f>
        <v>0</v>
      </c>
      <c r="Z479" s="1">
        <v>0</v>
      </c>
      <c r="AA479" s="53">
        <f t="shared" ref="AA479:AA532" si="109">SUM(T479:Z479)</f>
        <v>0</v>
      </c>
      <c r="AB479" s="52">
        <v>2024</v>
      </c>
      <c r="AC479" s="105"/>
      <c r="AD479" s="88"/>
      <c r="AE479" s="88"/>
    </row>
    <row r="480" spans="1:31" ht="47.25" x14ac:dyDescent="0.2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67" t="s">
        <v>275</v>
      </c>
      <c r="S480" s="55" t="s">
        <v>50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6">
        <f t="shared" si="109"/>
        <v>0</v>
      </c>
      <c r="AB480" s="37">
        <v>2024</v>
      </c>
      <c r="AC480" s="115"/>
      <c r="AD480" s="88"/>
      <c r="AE480" s="88"/>
    </row>
    <row r="481" spans="1:31" ht="47.25" x14ac:dyDescent="0.2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67" t="s">
        <v>276</v>
      </c>
      <c r="S481" s="55" t="s">
        <v>37</v>
      </c>
      <c r="T481" s="40">
        <v>0</v>
      </c>
      <c r="U481" s="40">
        <v>0</v>
      </c>
      <c r="V481" s="40">
        <v>0</v>
      </c>
      <c r="W481" s="40">
        <v>0</v>
      </c>
      <c r="X481" s="40">
        <v>0</v>
      </c>
      <c r="Y481" s="40">
        <v>0</v>
      </c>
      <c r="Z481" s="40">
        <v>0</v>
      </c>
      <c r="AA481" s="43">
        <f t="shared" si="109"/>
        <v>0</v>
      </c>
      <c r="AB481" s="37">
        <v>2024</v>
      </c>
      <c r="AC481" s="115"/>
      <c r="AD481" s="88"/>
      <c r="AE481" s="88"/>
    </row>
    <row r="482" spans="1:31" s="45" customFormat="1" x14ac:dyDescent="0.25">
      <c r="A482" s="48" t="s">
        <v>18</v>
      </c>
      <c r="B482" s="48" t="s">
        <v>24</v>
      </c>
      <c r="C482" s="48" t="s">
        <v>22</v>
      </c>
      <c r="D482" s="48" t="s">
        <v>18</v>
      </c>
      <c r="E482" s="48" t="s">
        <v>21</v>
      </c>
      <c r="F482" s="48" t="s">
        <v>18</v>
      </c>
      <c r="G482" s="48" t="s">
        <v>22</v>
      </c>
      <c r="H482" s="48" t="s">
        <v>19</v>
      </c>
      <c r="I482" s="48" t="s">
        <v>24</v>
      </c>
      <c r="J482" s="48" t="s">
        <v>18</v>
      </c>
      <c r="K482" s="48" t="s">
        <v>226</v>
      </c>
      <c r="L482" s="48" t="s">
        <v>20</v>
      </c>
      <c r="M482" s="48" t="s">
        <v>18</v>
      </c>
      <c r="N482" s="48" t="s">
        <v>18</v>
      </c>
      <c r="O482" s="48" t="s">
        <v>18</v>
      </c>
      <c r="P482" s="48" t="s">
        <v>18</v>
      </c>
      <c r="Q482" s="48" t="s">
        <v>18</v>
      </c>
      <c r="R482" s="163" t="s">
        <v>287</v>
      </c>
      <c r="S482" s="155" t="s">
        <v>0</v>
      </c>
      <c r="T482" s="53">
        <v>0</v>
      </c>
      <c r="U482" s="53">
        <f>2801.1-100-2701.1</f>
        <v>0</v>
      </c>
      <c r="V482" s="53">
        <f>2801.1-2801.1</f>
        <v>0</v>
      </c>
      <c r="W482" s="53">
        <f>SUM(W483:W484)</f>
        <v>15653.2</v>
      </c>
      <c r="X482" s="53">
        <f t="shared" ref="X482:Z482" si="110">SUM(X483:X484)</f>
        <v>11444.1</v>
      </c>
      <c r="Y482" s="53">
        <f t="shared" si="110"/>
        <v>0</v>
      </c>
      <c r="Z482" s="53">
        <f t="shared" si="110"/>
        <v>0</v>
      </c>
      <c r="AA482" s="53">
        <f t="shared" ref="AA482:AA486" si="111">SUM(T482:Z482)</f>
        <v>27097.300000000003</v>
      </c>
      <c r="AB482" s="52">
        <v>2022</v>
      </c>
      <c r="AC482" s="31"/>
      <c r="AD482" s="44"/>
    </row>
    <row r="483" spans="1:31" s="45" customFormat="1" x14ac:dyDescent="0.25">
      <c r="A483" s="48" t="s">
        <v>18</v>
      </c>
      <c r="B483" s="48" t="s">
        <v>24</v>
      </c>
      <c r="C483" s="48" t="s">
        <v>22</v>
      </c>
      <c r="D483" s="48" t="s">
        <v>18</v>
      </c>
      <c r="E483" s="48" t="s">
        <v>21</v>
      </c>
      <c r="F483" s="48" t="s">
        <v>18</v>
      </c>
      <c r="G483" s="48" t="s">
        <v>22</v>
      </c>
      <c r="H483" s="48" t="s">
        <v>19</v>
      </c>
      <c r="I483" s="48" t="s">
        <v>24</v>
      </c>
      <c r="J483" s="48" t="s">
        <v>18</v>
      </c>
      <c r="K483" s="48" t="s">
        <v>226</v>
      </c>
      <c r="L483" s="48" t="s">
        <v>20</v>
      </c>
      <c r="M483" s="48" t="s">
        <v>21</v>
      </c>
      <c r="N483" s="48" t="s">
        <v>21</v>
      </c>
      <c r="O483" s="48" t="s">
        <v>21</v>
      </c>
      <c r="P483" s="48" t="s">
        <v>21</v>
      </c>
      <c r="Q483" s="48" t="s">
        <v>20</v>
      </c>
      <c r="R483" s="164"/>
      <c r="S483" s="156"/>
      <c r="T483" s="1">
        <v>0</v>
      </c>
      <c r="U483" s="1">
        <f t="shared" ref="U483:U484" si="112">2801.1-100-2701.1</f>
        <v>0</v>
      </c>
      <c r="V483" s="1">
        <f t="shared" ref="V483:V484" si="113">2801.1-2801.1</f>
        <v>0</v>
      </c>
      <c r="W483" s="1">
        <f>15752-435.9</f>
        <v>15316.1</v>
      </c>
      <c r="X483" s="1">
        <f>11439.8+115.6-111.3</f>
        <v>11444.1</v>
      </c>
      <c r="Y483" s="1">
        <v>0</v>
      </c>
      <c r="Z483" s="1">
        <v>0</v>
      </c>
      <c r="AA483" s="53">
        <f t="shared" si="111"/>
        <v>26760.2</v>
      </c>
      <c r="AB483" s="52">
        <v>2022</v>
      </c>
      <c r="AC483" s="31"/>
      <c r="AD483" s="44"/>
    </row>
    <row r="484" spans="1:31" s="45" customFormat="1" x14ac:dyDescent="0.25">
      <c r="A484" s="48" t="s">
        <v>18</v>
      </c>
      <c r="B484" s="48" t="s">
        <v>24</v>
      </c>
      <c r="C484" s="48" t="s">
        <v>22</v>
      </c>
      <c r="D484" s="48" t="s">
        <v>18</v>
      </c>
      <c r="E484" s="48" t="s">
        <v>21</v>
      </c>
      <c r="F484" s="48" t="s">
        <v>18</v>
      </c>
      <c r="G484" s="48" t="s">
        <v>22</v>
      </c>
      <c r="H484" s="48" t="s">
        <v>19</v>
      </c>
      <c r="I484" s="48" t="s">
        <v>24</v>
      </c>
      <c r="J484" s="48" t="s">
        <v>18</v>
      </c>
      <c r="K484" s="48" t="s">
        <v>226</v>
      </c>
      <c r="L484" s="48" t="s">
        <v>20</v>
      </c>
      <c r="M484" s="48" t="s">
        <v>18</v>
      </c>
      <c r="N484" s="48" t="s">
        <v>18</v>
      </c>
      <c r="O484" s="48" t="s">
        <v>21</v>
      </c>
      <c r="P484" s="48" t="s">
        <v>21</v>
      </c>
      <c r="Q484" s="48" t="s">
        <v>20</v>
      </c>
      <c r="R484" s="165"/>
      <c r="S484" s="171"/>
      <c r="T484" s="1">
        <v>0</v>
      </c>
      <c r="U484" s="1">
        <f t="shared" si="112"/>
        <v>0</v>
      </c>
      <c r="V484" s="1">
        <f t="shared" si="113"/>
        <v>0</v>
      </c>
      <c r="W484" s="1">
        <v>337.1</v>
      </c>
      <c r="X484" s="1">
        <f>247.3-247.3</f>
        <v>0</v>
      </c>
      <c r="Y484" s="1">
        <v>0</v>
      </c>
      <c r="Z484" s="1">
        <v>0</v>
      </c>
      <c r="AA484" s="53">
        <f t="shared" si="111"/>
        <v>337.1</v>
      </c>
      <c r="AB484" s="52">
        <v>2021</v>
      </c>
      <c r="AC484" s="31"/>
      <c r="AD484" s="44"/>
    </row>
    <row r="485" spans="1:31" s="45" customFormat="1" ht="31.5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67" t="s">
        <v>221</v>
      </c>
      <c r="S485" s="46" t="s">
        <v>37</v>
      </c>
      <c r="T485" s="40">
        <v>0</v>
      </c>
      <c r="U485" s="40">
        <v>0</v>
      </c>
      <c r="V485" s="40">
        <v>0</v>
      </c>
      <c r="W485" s="40">
        <v>2</v>
      </c>
      <c r="X485" s="40">
        <v>1</v>
      </c>
      <c r="Y485" s="40">
        <v>0</v>
      </c>
      <c r="Z485" s="40">
        <v>0</v>
      </c>
      <c r="AA485" s="43">
        <f>SUM(T485:Z485)</f>
        <v>3</v>
      </c>
      <c r="AB485" s="151">
        <v>2022</v>
      </c>
      <c r="AC485" s="31"/>
      <c r="AD485" s="44"/>
    </row>
    <row r="486" spans="1:31" s="8" customFormat="1" ht="31.5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69" t="s">
        <v>222</v>
      </c>
      <c r="S486" s="55" t="s">
        <v>50</v>
      </c>
      <c r="T486" s="3">
        <v>0</v>
      </c>
      <c r="U486" s="3">
        <v>0</v>
      </c>
      <c r="V486" s="3">
        <v>0</v>
      </c>
      <c r="W486" s="3">
        <v>6.4</v>
      </c>
      <c r="X486" s="3">
        <v>3.7</v>
      </c>
      <c r="Y486" s="3">
        <v>0</v>
      </c>
      <c r="Z486" s="3">
        <v>0</v>
      </c>
      <c r="AA486" s="47">
        <f t="shared" si="111"/>
        <v>10.100000000000001</v>
      </c>
      <c r="AB486" s="151">
        <v>2022</v>
      </c>
      <c r="AC486" s="31"/>
      <c r="AD486" s="54"/>
    </row>
    <row r="487" spans="1:31" s="45" customFormat="1" ht="47.25" hidden="1" x14ac:dyDescent="0.25">
      <c r="A487" s="48" t="s">
        <v>18</v>
      </c>
      <c r="B487" s="48" t="s">
        <v>18</v>
      </c>
      <c r="C487" s="48" t="s">
        <v>22</v>
      </c>
      <c r="D487" s="48" t="s">
        <v>18</v>
      </c>
      <c r="E487" s="48" t="s">
        <v>21</v>
      </c>
      <c r="F487" s="48" t="s">
        <v>18</v>
      </c>
      <c r="G487" s="48" t="s">
        <v>22</v>
      </c>
      <c r="H487" s="48" t="s">
        <v>19</v>
      </c>
      <c r="I487" s="48" t="s">
        <v>24</v>
      </c>
      <c r="J487" s="48" t="s">
        <v>18</v>
      </c>
      <c r="K487" s="48" t="s">
        <v>226</v>
      </c>
      <c r="L487" s="48" t="s">
        <v>20</v>
      </c>
      <c r="M487" s="48" t="s">
        <v>21</v>
      </c>
      <c r="N487" s="48" t="s">
        <v>21</v>
      </c>
      <c r="O487" s="48" t="s">
        <v>21</v>
      </c>
      <c r="P487" s="48" t="s">
        <v>21</v>
      </c>
      <c r="Q487" s="48" t="s">
        <v>20</v>
      </c>
      <c r="R487" s="148" t="s">
        <v>287</v>
      </c>
      <c r="S487" s="49" t="s">
        <v>0</v>
      </c>
      <c r="T487" s="1">
        <v>0</v>
      </c>
      <c r="U487" s="1">
        <f>3100.4-200-2900.4</f>
        <v>0</v>
      </c>
      <c r="V487" s="1">
        <f>2000.4-2000.4</f>
        <v>0</v>
      </c>
      <c r="W487" s="1">
        <v>0</v>
      </c>
      <c r="X487" s="1">
        <f>3100.4-200-2900.4</f>
        <v>0</v>
      </c>
      <c r="Y487" s="1">
        <f>2000.4-2000.4</f>
        <v>0</v>
      </c>
      <c r="Z487" s="1">
        <v>0</v>
      </c>
      <c r="AA487" s="53">
        <f t="shared" si="109"/>
        <v>0</v>
      </c>
      <c r="AB487" s="52">
        <v>2024</v>
      </c>
      <c r="AC487" s="31"/>
      <c r="AD487" s="44"/>
    </row>
    <row r="488" spans="1:31" s="45" customFormat="1" ht="47.25" hidden="1" x14ac:dyDescent="0.2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67" t="s">
        <v>118</v>
      </c>
      <c r="S488" s="46" t="s">
        <v>37</v>
      </c>
      <c r="T488" s="40">
        <v>0</v>
      </c>
      <c r="U488" s="40">
        <v>0</v>
      </c>
      <c r="V488" s="40">
        <f>12-12</f>
        <v>0</v>
      </c>
      <c r="W488" s="40">
        <v>0</v>
      </c>
      <c r="X488" s="40">
        <v>0</v>
      </c>
      <c r="Y488" s="40">
        <f>12-12</f>
        <v>0</v>
      </c>
      <c r="Z488" s="40">
        <v>0</v>
      </c>
      <c r="AA488" s="43">
        <f t="shared" si="109"/>
        <v>0</v>
      </c>
      <c r="AB488" s="151">
        <v>2024</v>
      </c>
      <c r="AC488" s="31"/>
      <c r="AD488" s="44"/>
    </row>
    <row r="489" spans="1:31" s="45" customFormat="1" ht="47.25" hidden="1" x14ac:dyDescent="0.2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67" t="s">
        <v>119</v>
      </c>
      <c r="S489" s="46" t="s">
        <v>50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47">
        <f t="shared" si="109"/>
        <v>0</v>
      </c>
      <c r="AB489" s="151">
        <v>2024</v>
      </c>
      <c r="AC489" s="31"/>
      <c r="AD489" s="44"/>
    </row>
    <row r="490" spans="1:31" s="45" customFormat="1" ht="47.25" hidden="1" x14ac:dyDescent="0.25">
      <c r="A490" s="48" t="s">
        <v>18</v>
      </c>
      <c r="B490" s="48" t="s">
        <v>18</v>
      </c>
      <c r="C490" s="48" t="s">
        <v>24</v>
      </c>
      <c r="D490" s="48" t="s">
        <v>18</v>
      </c>
      <c r="E490" s="48" t="s">
        <v>21</v>
      </c>
      <c r="F490" s="48" t="s">
        <v>18</v>
      </c>
      <c r="G490" s="48" t="s">
        <v>22</v>
      </c>
      <c r="H490" s="48" t="s">
        <v>19</v>
      </c>
      <c r="I490" s="48" t="s">
        <v>24</v>
      </c>
      <c r="J490" s="48" t="s">
        <v>18</v>
      </c>
      <c r="K490" s="48" t="s">
        <v>226</v>
      </c>
      <c r="L490" s="48" t="s">
        <v>20</v>
      </c>
      <c r="M490" s="48" t="s">
        <v>21</v>
      </c>
      <c r="N490" s="48" t="s">
        <v>21</v>
      </c>
      <c r="O490" s="48" t="s">
        <v>21</v>
      </c>
      <c r="P490" s="48" t="s">
        <v>21</v>
      </c>
      <c r="Q490" s="48" t="s">
        <v>20</v>
      </c>
      <c r="R490" s="148" t="s">
        <v>287</v>
      </c>
      <c r="S490" s="49" t="s">
        <v>0</v>
      </c>
      <c r="T490" s="1">
        <v>0</v>
      </c>
      <c r="U490" s="1">
        <f>2000-100-1900</f>
        <v>0</v>
      </c>
      <c r="V490" s="1">
        <f>2000-2000</f>
        <v>0</v>
      </c>
      <c r="W490" s="1">
        <v>0</v>
      </c>
      <c r="X490" s="1">
        <f>2000-100-1900</f>
        <v>0</v>
      </c>
      <c r="Y490" s="1">
        <f>2000-2000</f>
        <v>0</v>
      </c>
      <c r="Z490" s="1">
        <v>0</v>
      </c>
      <c r="AA490" s="53">
        <f t="shared" si="109"/>
        <v>0</v>
      </c>
      <c r="AB490" s="52">
        <v>2024</v>
      </c>
      <c r="AC490" s="31"/>
      <c r="AD490" s="44"/>
    </row>
    <row r="491" spans="1:31" s="45" customFormat="1" ht="47.25" hidden="1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67" t="s">
        <v>234</v>
      </c>
      <c r="S491" s="46" t="s">
        <v>37</v>
      </c>
      <c r="T491" s="40">
        <v>0</v>
      </c>
      <c r="U491" s="40">
        <v>0</v>
      </c>
      <c r="V491" s="40">
        <v>0</v>
      </c>
      <c r="W491" s="40">
        <v>0</v>
      </c>
      <c r="X491" s="40">
        <v>0</v>
      </c>
      <c r="Y491" s="40">
        <v>0</v>
      </c>
      <c r="Z491" s="40">
        <v>0</v>
      </c>
      <c r="AA491" s="43">
        <f t="shared" si="109"/>
        <v>0</v>
      </c>
      <c r="AB491" s="151">
        <v>2024</v>
      </c>
      <c r="AC491" s="31"/>
      <c r="AD491" s="44"/>
    </row>
    <row r="492" spans="1:31" s="45" customFormat="1" ht="47.25" hidden="1" x14ac:dyDescent="0.2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67" t="s">
        <v>235</v>
      </c>
      <c r="S492" s="46" t="s">
        <v>50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47">
        <f t="shared" si="109"/>
        <v>0</v>
      </c>
      <c r="AB492" s="151">
        <v>2024</v>
      </c>
      <c r="AC492" s="108"/>
      <c r="AD492" s="100"/>
    </row>
    <row r="493" spans="1:31" s="45" customFormat="1" ht="47.25" hidden="1" x14ac:dyDescent="0.25">
      <c r="A493" s="48" t="s">
        <v>18</v>
      </c>
      <c r="B493" s="48" t="s">
        <v>18</v>
      </c>
      <c r="C493" s="48" t="s">
        <v>21</v>
      </c>
      <c r="D493" s="48" t="s">
        <v>18</v>
      </c>
      <c r="E493" s="48" t="s">
        <v>21</v>
      </c>
      <c r="F493" s="48" t="s">
        <v>18</v>
      </c>
      <c r="G493" s="48" t="s">
        <v>22</v>
      </c>
      <c r="H493" s="48" t="s">
        <v>19</v>
      </c>
      <c r="I493" s="48" t="s">
        <v>24</v>
      </c>
      <c r="J493" s="48" t="s">
        <v>18</v>
      </c>
      <c r="K493" s="48" t="s">
        <v>226</v>
      </c>
      <c r="L493" s="48" t="s">
        <v>20</v>
      </c>
      <c r="M493" s="48" t="s">
        <v>21</v>
      </c>
      <c r="N493" s="48" t="s">
        <v>21</v>
      </c>
      <c r="O493" s="48" t="s">
        <v>21</v>
      </c>
      <c r="P493" s="48" t="s">
        <v>21</v>
      </c>
      <c r="Q493" s="48" t="s">
        <v>20</v>
      </c>
      <c r="R493" s="148" t="s">
        <v>288</v>
      </c>
      <c r="S493" s="49" t="s">
        <v>0</v>
      </c>
      <c r="T493" s="1">
        <v>0</v>
      </c>
      <c r="U493" s="1">
        <f>2860.5-100-2760.5</f>
        <v>0</v>
      </c>
      <c r="V493" s="1">
        <f>2860.6-2860.6</f>
        <v>0</v>
      </c>
      <c r="W493" s="1">
        <v>0</v>
      </c>
      <c r="X493" s="1">
        <f>2860.5-100-2760.5</f>
        <v>0</v>
      </c>
      <c r="Y493" s="1">
        <f>2860.6-2860.6</f>
        <v>0</v>
      </c>
      <c r="Z493" s="1">
        <v>0</v>
      </c>
      <c r="AA493" s="53">
        <f t="shared" si="109"/>
        <v>0</v>
      </c>
      <c r="AB493" s="52">
        <v>2024</v>
      </c>
      <c r="AC493" s="31"/>
      <c r="AD493" s="44"/>
    </row>
    <row r="494" spans="1:31" s="45" customFormat="1" ht="47.25" hidden="1" x14ac:dyDescent="0.2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67" t="s">
        <v>236</v>
      </c>
      <c r="S494" s="46" t="s">
        <v>37</v>
      </c>
      <c r="T494" s="40">
        <v>0</v>
      </c>
      <c r="U494" s="40">
        <v>0</v>
      </c>
      <c r="V494" s="40">
        <v>0</v>
      </c>
      <c r="W494" s="40">
        <v>0</v>
      </c>
      <c r="X494" s="40">
        <v>0</v>
      </c>
      <c r="Y494" s="40">
        <v>0</v>
      </c>
      <c r="Z494" s="40">
        <v>0</v>
      </c>
      <c r="AA494" s="43">
        <f t="shared" si="109"/>
        <v>0</v>
      </c>
      <c r="AB494" s="151">
        <v>2024</v>
      </c>
      <c r="AC494" s="31"/>
      <c r="AD494" s="44"/>
    </row>
    <row r="495" spans="1:31" s="45" customFormat="1" ht="47.25" hidden="1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67" t="s">
        <v>237</v>
      </c>
      <c r="S495" s="46" t="s">
        <v>50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47">
        <f t="shared" si="109"/>
        <v>0</v>
      </c>
      <c r="AB495" s="151">
        <v>2024</v>
      </c>
      <c r="AC495" s="31"/>
      <c r="AD495" s="44"/>
    </row>
    <row r="496" spans="1:31" s="45" customFormat="1" ht="47.25" hidden="1" x14ac:dyDescent="0.25">
      <c r="A496" s="48" t="s">
        <v>18</v>
      </c>
      <c r="B496" s="48" t="s">
        <v>18</v>
      </c>
      <c r="C496" s="48" t="s">
        <v>25</v>
      </c>
      <c r="D496" s="48" t="s">
        <v>18</v>
      </c>
      <c r="E496" s="48" t="s">
        <v>21</v>
      </c>
      <c r="F496" s="48" t="s">
        <v>18</v>
      </c>
      <c r="G496" s="48" t="s">
        <v>22</v>
      </c>
      <c r="H496" s="48" t="s">
        <v>19</v>
      </c>
      <c r="I496" s="48" t="s">
        <v>24</v>
      </c>
      <c r="J496" s="48" t="s">
        <v>18</v>
      </c>
      <c r="K496" s="48" t="s">
        <v>226</v>
      </c>
      <c r="L496" s="48" t="s">
        <v>20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20</v>
      </c>
      <c r="R496" s="148" t="s">
        <v>287</v>
      </c>
      <c r="S496" s="49" t="s">
        <v>0</v>
      </c>
      <c r="T496" s="1">
        <v>0</v>
      </c>
      <c r="U496" s="1">
        <f>2801.1-100-2701.1</f>
        <v>0</v>
      </c>
      <c r="V496" s="1">
        <f>2801.1-2801.1</f>
        <v>0</v>
      </c>
      <c r="W496" s="1">
        <v>0</v>
      </c>
      <c r="X496" s="1">
        <f>2801.1-100-2701.1</f>
        <v>0</v>
      </c>
      <c r="Y496" s="1">
        <f>2801.1-2801.1</f>
        <v>0</v>
      </c>
      <c r="Z496" s="1">
        <v>0</v>
      </c>
      <c r="AA496" s="53">
        <f t="shared" si="109"/>
        <v>0</v>
      </c>
      <c r="AB496" s="52">
        <v>2024</v>
      </c>
      <c r="AC496" s="31"/>
      <c r="AD496" s="44"/>
    </row>
    <row r="497" spans="1:30" s="45" customFormat="1" ht="47.25" hidden="1" x14ac:dyDescent="0.2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67" t="s">
        <v>238</v>
      </c>
      <c r="S497" s="46" t="s">
        <v>37</v>
      </c>
      <c r="T497" s="40">
        <v>0</v>
      </c>
      <c r="U497" s="40">
        <v>0</v>
      </c>
      <c r="V497" s="40">
        <v>0</v>
      </c>
      <c r="W497" s="40">
        <v>0</v>
      </c>
      <c r="X497" s="40">
        <v>0</v>
      </c>
      <c r="Y497" s="40">
        <v>0</v>
      </c>
      <c r="Z497" s="40">
        <v>0</v>
      </c>
      <c r="AA497" s="43">
        <f t="shared" si="109"/>
        <v>0</v>
      </c>
      <c r="AB497" s="151">
        <v>2024</v>
      </c>
      <c r="AC497" s="31"/>
      <c r="AD497" s="44"/>
    </row>
    <row r="498" spans="1:30" s="45" customFormat="1" ht="47.25" hidden="1" x14ac:dyDescent="0.2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67" t="s">
        <v>239</v>
      </c>
      <c r="S498" s="46" t="s">
        <v>50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47">
        <f t="shared" si="109"/>
        <v>0</v>
      </c>
      <c r="AB498" s="151">
        <v>2024</v>
      </c>
      <c r="AC498" s="31"/>
      <c r="AD498" s="44"/>
    </row>
    <row r="499" spans="1:30" s="45" customFormat="1" hidden="1" x14ac:dyDescent="0.25">
      <c r="A499" s="48" t="s">
        <v>18</v>
      </c>
      <c r="B499" s="48" t="s">
        <v>24</v>
      </c>
      <c r="C499" s="48" t="s">
        <v>22</v>
      </c>
      <c r="D499" s="48" t="s">
        <v>18</v>
      </c>
      <c r="E499" s="48" t="s">
        <v>21</v>
      </c>
      <c r="F499" s="48" t="s">
        <v>18</v>
      </c>
      <c r="G499" s="48" t="s">
        <v>22</v>
      </c>
      <c r="H499" s="48" t="s">
        <v>19</v>
      </c>
      <c r="I499" s="48" t="s">
        <v>24</v>
      </c>
      <c r="J499" s="48" t="s">
        <v>18</v>
      </c>
      <c r="K499" s="48" t="s">
        <v>226</v>
      </c>
      <c r="L499" s="48" t="s">
        <v>20</v>
      </c>
      <c r="M499" s="48" t="s">
        <v>18</v>
      </c>
      <c r="N499" s="48" t="s">
        <v>18</v>
      </c>
      <c r="O499" s="48" t="s">
        <v>18</v>
      </c>
      <c r="P499" s="48" t="s">
        <v>18</v>
      </c>
      <c r="Q499" s="48" t="s">
        <v>18</v>
      </c>
      <c r="R499" s="163" t="s">
        <v>287</v>
      </c>
      <c r="S499" s="159" t="s">
        <v>0</v>
      </c>
      <c r="T499" s="1">
        <v>0</v>
      </c>
      <c r="U499" s="1">
        <f>2801.1-100-2701.1</f>
        <v>0</v>
      </c>
      <c r="V499" s="1">
        <f>2801.1-2801.1</f>
        <v>0</v>
      </c>
      <c r="W499" s="1"/>
      <c r="X499" s="1"/>
      <c r="Y499" s="1"/>
      <c r="Z499" s="1"/>
      <c r="AA499" s="53"/>
      <c r="AB499" s="52"/>
      <c r="AC499" s="31"/>
      <c r="AD499" s="44"/>
    </row>
    <row r="500" spans="1:30" s="45" customFormat="1" hidden="1" x14ac:dyDescent="0.25">
      <c r="A500" s="48" t="s">
        <v>18</v>
      </c>
      <c r="B500" s="48" t="s">
        <v>24</v>
      </c>
      <c r="C500" s="48" t="s">
        <v>22</v>
      </c>
      <c r="D500" s="48" t="s">
        <v>18</v>
      </c>
      <c r="E500" s="48" t="s">
        <v>21</v>
      </c>
      <c r="F500" s="48" t="s">
        <v>18</v>
      </c>
      <c r="G500" s="48" t="s">
        <v>22</v>
      </c>
      <c r="H500" s="48" t="s">
        <v>19</v>
      </c>
      <c r="I500" s="48" t="s">
        <v>24</v>
      </c>
      <c r="J500" s="48" t="s">
        <v>18</v>
      </c>
      <c r="K500" s="48" t="s">
        <v>226</v>
      </c>
      <c r="L500" s="48" t="s">
        <v>20</v>
      </c>
      <c r="M500" s="48" t="s">
        <v>21</v>
      </c>
      <c r="N500" s="48" t="s">
        <v>21</v>
      </c>
      <c r="O500" s="48" t="s">
        <v>21</v>
      </c>
      <c r="P500" s="48" t="s">
        <v>21</v>
      </c>
      <c r="Q500" s="48" t="s">
        <v>20</v>
      </c>
      <c r="R500" s="164"/>
      <c r="S500" s="160"/>
      <c r="T500" s="1">
        <v>0</v>
      </c>
      <c r="U500" s="1">
        <f t="shared" ref="U500:U501" si="114">2801.1-100-2701.1</f>
        <v>0</v>
      </c>
      <c r="V500" s="1">
        <f t="shared" ref="V500:V501" si="115">2801.1-2801.1</f>
        <v>0</v>
      </c>
      <c r="W500" s="1"/>
      <c r="X500" s="1"/>
      <c r="Y500" s="1"/>
      <c r="Z500" s="1"/>
      <c r="AA500" s="53"/>
      <c r="AB500" s="52"/>
      <c r="AC500" s="31"/>
      <c r="AD500" s="44"/>
    </row>
    <row r="501" spans="1:30" s="45" customFormat="1" hidden="1" x14ac:dyDescent="0.25">
      <c r="A501" s="48" t="s">
        <v>18</v>
      </c>
      <c r="B501" s="48" t="s">
        <v>24</v>
      </c>
      <c r="C501" s="48" t="s">
        <v>22</v>
      </c>
      <c r="D501" s="48" t="s">
        <v>18</v>
      </c>
      <c r="E501" s="48" t="s">
        <v>21</v>
      </c>
      <c r="F501" s="48" t="s">
        <v>18</v>
      </c>
      <c r="G501" s="48" t="s">
        <v>22</v>
      </c>
      <c r="H501" s="48" t="s">
        <v>19</v>
      </c>
      <c r="I501" s="48" t="s">
        <v>24</v>
      </c>
      <c r="J501" s="48" t="s">
        <v>18</v>
      </c>
      <c r="K501" s="48" t="s">
        <v>226</v>
      </c>
      <c r="L501" s="48" t="s">
        <v>20</v>
      </c>
      <c r="M501" s="48" t="s">
        <v>18</v>
      </c>
      <c r="N501" s="48" t="s">
        <v>18</v>
      </c>
      <c r="O501" s="48" t="s">
        <v>21</v>
      </c>
      <c r="P501" s="48" t="s">
        <v>21</v>
      </c>
      <c r="Q501" s="48" t="s">
        <v>20</v>
      </c>
      <c r="R501" s="165"/>
      <c r="S501" s="161"/>
      <c r="T501" s="1">
        <v>0</v>
      </c>
      <c r="U501" s="1">
        <f t="shared" si="114"/>
        <v>0</v>
      </c>
      <c r="V501" s="1">
        <f t="shared" si="115"/>
        <v>0</v>
      </c>
      <c r="W501" s="1"/>
      <c r="X501" s="1"/>
      <c r="Y501" s="1"/>
      <c r="Z501" s="1"/>
      <c r="AA501" s="53"/>
      <c r="AB501" s="52"/>
      <c r="AC501" s="31"/>
      <c r="AD501" s="44"/>
    </row>
    <row r="502" spans="1:30" s="45" customFormat="1" ht="31.5" hidden="1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67" t="s">
        <v>294</v>
      </c>
      <c r="S502" s="46" t="s">
        <v>37</v>
      </c>
      <c r="T502" s="40"/>
      <c r="U502" s="40"/>
      <c r="V502" s="40"/>
      <c r="W502" s="40"/>
      <c r="X502" s="40"/>
      <c r="Y502" s="40"/>
      <c r="Z502" s="40"/>
      <c r="AA502" s="43"/>
      <c r="AB502" s="151"/>
      <c r="AC502" s="31"/>
      <c r="AD502" s="44"/>
    </row>
    <row r="503" spans="1:30" s="45" customFormat="1" ht="31.5" hidden="1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67" t="s">
        <v>295</v>
      </c>
      <c r="S503" s="46" t="s">
        <v>50</v>
      </c>
      <c r="T503" s="3"/>
      <c r="U503" s="3"/>
      <c r="V503" s="3"/>
      <c r="W503" s="3"/>
      <c r="X503" s="3"/>
      <c r="Y503" s="3"/>
      <c r="Z503" s="3"/>
      <c r="AA503" s="47"/>
      <c r="AB503" s="151"/>
      <c r="AC503" s="31"/>
      <c r="AD503" s="44"/>
    </row>
    <row r="504" spans="1:30" s="45" customFormat="1" ht="31.5" x14ac:dyDescent="0.25">
      <c r="A504" s="48"/>
      <c r="B504" s="48"/>
      <c r="C504" s="48"/>
      <c r="D504" s="48"/>
      <c r="E504" s="48"/>
      <c r="F504" s="48"/>
      <c r="G504" s="48"/>
      <c r="H504" s="48" t="s">
        <v>19</v>
      </c>
      <c r="I504" s="48" t="s">
        <v>24</v>
      </c>
      <c r="J504" s="48" t="s">
        <v>18</v>
      </c>
      <c r="K504" s="48" t="s">
        <v>19</v>
      </c>
      <c r="L504" s="48" t="s">
        <v>315</v>
      </c>
      <c r="M504" s="48" t="s">
        <v>18</v>
      </c>
      <c r="N504" s="48" t="s">
        <v>18</v>
      </c>
      <c r="O504" s="48" t="s">
        <v>18</v>
      </c>
      <c r="P504" s="48" t="s">
        <v>18</v>
      </c>
      <c r="Q504" s="48" t="s">
        <v>18</v>
      </c>
      <c r="R504" s="66" t="s">
        <v>296</v>
      </c>
      <c r="S504" s="49" t="s">
        <v>0</v>
      </c>
      <c r="T504" s="53">
        <f>T517+T522</f>
        <v>0</v>
      </c>
      <c r="U504" s="53">
        <f t="shared" ref="U504:X504" si="116">U517+U522</f>
        <v>0</v>
      </c>
      <c r="V504" s="53">
        <f t="shared" si="116"/>
        <v>0</v>
      </c>
      <c r="W504" s="53">
        <f t="shared" si="116"/>
        <v>0</v>
      </c>
      <c r="X504" s="53">
        <f t="shared" si="116"/>
        <v>0</v>
      </c>
      <c r="Y504" s="53">
        <f>Y512+Y517+Y522</f>
        <v>10331.6</v>
      </c>
      <c r="Z504" s="53">
        <f>Z512+Z517+Z522+Z507</f>
        <v>17119.5</v>
      </c>
      <c r="AA504" s="53">
        <f>SUM(T504:Z504)</f>
        <v>27451.1</v>
      </c>
      <c r="AB504" s="52">
        <v>2024</v>
      </c>
      <c r="AC504" s="31"/>
      <c r="AD504" s="44"/>
    </row>
    <row r="505" spans="1:30" s="45" customFormat="1" ht="31.5" x14ac:dyDescent="0.2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67" t="s">
        <v>354</v>
      </c>
      <c r="S505" s="55" t="s">
        <v>50</v>
      </c>
      <c r="T505" s="3">
        <f>T520+T523</f>
        <v>0</v>
      </c>
      <c r="U505" s="3">
        <f t="shared" ref="U505:X505" si="117">U520+U523</f>
        <v>0</v>
      </c>
      <c r="V505" s="3">
        <f t="shared" si="117"/>
        <v>0</v>
      </c>
      <c r="W505" s="3">
        <f t="shared" si="117"/>
        <v>0</v>
      </c>
      <c r="X505" s="3">
        <f t="shared" si="117"/>
        <v>0</v>
      </c>
      <c r="Y505" s="3">
        <f>Y515+Y520</f>
        <v>2.8000000000000003</v>
      </c>
      <c r="Z505" s="3">
        <f>Z520+Z510+Z515+Z523</f>
        <v>3.5</v>
      </c>
      <c r="AA505" s="6">
        <f>SUM(T505:Z505)</f>
        <v>6.3000000000000007</v>
      </c>
      <c r="AB505" s="37">
        <v>2024</v>
      </c>
      <c r="AC505" s="31"/>
      <c r="AD505" s="44"/>
    </row>
    <row r="506" spans="1:30" s="45" customFormat="1" ht="30" customHeight="1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67" t="s">
        <v>353</v>
      </c>
      <c r="S506" s="55" t="s">
        <v>37</v>
      </c>
      <c r="T506" s="40">
        <f t="shared" ref="T506:X506" si="118">T521+T524</f>
        <v>0</v>
      </c>
      <c r="U506" s="40">
        <f t="shared" si="118"/>
        <v>0</v>
      </c>
      <c r="V506" s="40">
        <f t="shared" si="118"/>
        <v>0</v>
      </c>
      <c r="W506" s="40">
        <f t="shared" si="118"/>
        <v>0</v>
      </c>
      <c r="X506" s="40">
        <f t="shared" si="118"/>
        <v>0</v>
      </c>
      <c r="Y506" s="40">
        <f>Y516+Y521</f>
        <v>4</v>
      </c>
      <c r="Z506" s="40">
        <f>Z521+Z524+Z516+Z511</f>
        <v>5</v>
      </c>
      <c r="AA506" s="43">
        <f t="shared" ref="AA506" si="119">SUM(T506:Z506)</f>
        <v>9</v>
      </c>
      <c r="AB506" s="37">
        <v>2024</v>
      </c>
      <c r="AC506" s="31"/>
      <c r="AD506" s="44"/>
    </row>
    <row r="507" spans="1:30" s="141" customFormat="1" x14ac:dyDescent="0.25">
      <c r="A507" s="48" t="s">
        <v>18</v>
      </c>
      <c r="B507" s="48" t="s">
        <v>18</v>
      </c>
      <c r="C507" s="48" t="s">
        <v>24</v>
      </c>
      <c r="D507" s="48" t="s">
        <v>18</v>
      </c>
      <c r="E507" s="48" t="s">
        <v>18</v>
      </c>
      <c r="F507" s="48" t="s">
        <v>18</v>
      </c>
      <c r="G507" s="48" t="s">
        <v>18</v>
      </c>
      <c r="H507" s="48" t="s">
        <v>19</v>
      </c>
      <c r="I507" s="48" t="s">
        <v>24</v>
      </c>
      <c r="J507" s="48" t="s">
        <v>18</v>
      </c>
      <c r="K507" s="48" t="s">
        <v>19</v>
      </c>
      <c r="L507" s="48" t="s">
        <v>315</v>
      </c>
      <c r="M507" s="48" t="s">
        <v>18</v>
      </c>
      <c r="N507" s="48" t="s">
        <v>18</v>
      </c>
      <c r="O507" s="48" t="s">
        <v>18</v>
      </c>
      <c r="P507" s="48" t="s">
        <v>18</v>
      </c>
      <c r="Q507" s="48" t="s">
        <v>18</v>
      </c>
      <c r="R507" s="163" t="s">
        <v>296</v>
      </c>
      <c r="S507" s="166" t="s">
        <v>0</v>
      </c>
      <c r="T507" s="1">
        <f>T508+T509</f>
        <v>0</v>
      </c>
      <c r="U507" s="1">
        <f t="shared" ref="U507:Z507" si="120">U508+U509</f>
        <v>0</v>
      </c>
      <c r="V507" s="1">
        <f t="shared" si="120"/>
        <v>0</v>
      </c>
      <c r="W507" s="1">
        <f t="shared" si="120"/>
        <v>0</v>
      </c>
      <c r="X507" s="1">
        <f t="shared" si="120"/>
        <v>0</v>
      </c>
      <c r="Y507" s="1">
        <v>0</v>
      </c>
      <c r="Z507" s="1">
        <f t="shared" si="120"/>
        <v>4859.4000000000005</v>
      </c>
      <c r="AA507" s="53">
        <f>SUM(T507:Z507)</f>
        <v>4859.4000000000005</v>
      </c>
      <c r="AB507" s="52">
        <v>2024</v>
      </c>
      <c r="AC507" s="117"/>
      <c r="AD507" s="140"/>
    </row>
    <row r="508" spans="1:30" s="141" customFormat="1" x14ac:dyDescent="0.25">
      <c r="A508" s="48" t="s">
        <v>18</v>
      </c>
      <c r="B508" s="48" t="s">
        <v>18</v>
      </c>
      <c r="C508" s="48" t="s">
        <v>24</v>
      </c>
      <c r="D508" s="48" t="s">
        <v>18</v>
      </c>
      <c r="E508" s="48" t="s">
        <v>18</v>
      </c>
      <c r="F508" s="48" t="s">
        <v>18</v>
      </c>
      <c r="G508" s="48" t="s">
        <v>18</v>
      </c>
      <c r="H508" s="48" t="s">
        <v>19</v>
      </c>
      <c r="I508" s="48" t="s">
        <v>24</v>
      </c>
      <c r="J508" s="48" t="s">
        <v>18</v>
      </c>
      <c r="K508" s="48" t="s">
        <v>19</v>
      </c>
      <c r="L508" s="48" t="s">
        <v>315</v>
      </c>
      <c r="M508" s="48" t="s">
        <v>19</v>
      </c>
      <c r="N508" s="48" t="s">
        <v>23</v>
      </c>
      <c r="O508" s="48" t="s">
        <v>18</v>
      </c>
      <c r="P508" s="48" t="s">
        <v>18</v>
      </c>
      <c r="Q508" s="48" t="s">
        <v>18</v>
      </c>
      <c r="R508" s="164"/>
      <c r="S508" s="167"/>
      <c r="T508" s="1">
        <v>0</v>
      </c>
      <c r="U508" s="1">
        <v>0</v>
      </c>
      <c r="V508" s="1">
        <v>0</v>
      </c>
      <c r="W508" s="1">
        <v>0</v>
      </c>
      <c r="X508" s="1">
        <v>0</v>
      </c>
      <c r="Y508" s="1">
        <v>0</v>
      </c>
      <c r="Z508" s="1">
        <v>4335.8</v>
      </c>
      <c r="AA508" s="53">
        <f t="shared" ref="AA508:AA511" si="121">SUM(T508:Z508)</f>
        <v>4335.8</v>
      </c>
      <c r="AB508" s="52">
        <v>2024</v>
      </c>
      <c r="AC508" s="117"/>
      <c r="AD508" s="140"/>
    </row>
    <row r="509" spans="1:30" s="141" customFormat="1" x14ac:dyDescent="0.25">
      <c r="A509" s="48" t="s">
        <v>18</v>
      </c>
      <c r="B509" s="48" t="s">
        <v>18</v>
      </c>
      <c r="C509" s="48" t="s">
        <v>24</v>
      </c>
      <c r="D509" s="48" t="s">
        <v>18</v>
      </c>
      <c r="E509" s="48" t="s">
        <v>18</v>
      </c>
      <c r="F509" s="48" t="s">
        <v>18</v>
      </c>
      <c r="G509" s="48" t="s">
        <v>18</v>
      </c>
      <c r="H509" s="48" t="s">
        <v>19</v>
      </c>
      <c r="I509" s="48" t="s">
        <v>24</v>
      </c>
      <c r="J509" s="48" t="s">
        <v>18</v>
      </c>
      <c r="K509" s="48" t="s">
        <v>19</v>
      </c>
      <c r="L509" s="48" t="s">
        <v>315</v>
      </c>
      <c r="M509" s="48" t="s">
        <v>19</v>
      </c>
      <c r="N509" s="48" t="s">
        <v>23</v>
      </c>
      <c r="O509" s="48" t="s">
        <v>44</v>
      </c>
      <c r="P509" s="48" t="s">
        <v>18</v>
      </c>
      <c r="Q509" s="48" t="s">
        <v>18</v>
      </c>
      <c r="R509" s="165"/>
      <c r="S509" s="168"/>
      <c r="T509" s="1">
        <v>0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523.6</v>
      </c>
      <c r="AA509" s="53">
        <f t="shared" si="121"/>
        <v>523.6</v>
      </c>
      <c r="AB509" s="52">
        <v>2024</v>
      </c>
      <c r="AC509" s="117"/>
      <c r="AD509" s="140"/>
    </row>
    <row r="510" spans="1:30" s="45" customFormat="1" ht="30.75" customHeight="1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67" t="s">
        <v>370</v>
      </c>
      <c r="S510" s="55" t="s">
        <v>50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1.4</v>
      </c>
      <c r="AA510" s="6">
        <f t="shared" si="121"/>
        <v>1.4</v>
      </c>
      <c r="AB510" s="37">
        <v>2024</v>
      </c>
      <c r="AC510" s="31"/>
      <c r="AD510" s="44"/>
    </row>
    <row r="511" spans="1:30" s="45" customFormat="1" ht="30.75" customHeight="1" x14ac:dyDescent="0.2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67" t="s">
        <v>371</v>
      </c>
      <c r="S511" s="55" t="s">
        <v>37</v>
      </c>
      <c r="T511" s="40">
        <v>0</v>
      </c>
      <c r="U511" s="40">
        <v>0</v>
      </c>
      <c r="V511" s="40">
        <v>0</v>
      </c>
      <c r="W511" s="40">
        <v>0</v>
      </c>
      <c r="X511" s="40">
        <v>0</v>
      </c>
      <c r="Y511" s="40">
        <v>0</v>
      </c>
      <c r="Z511" s="40">
        <v>1</v>
      </c>
      <c r="AA511" s="43">
        <f t="shared" si="121"/>
        <v>1</v>
      </c>
      <c r="AB511" s="37">
        <v>2024</v>
      </c>
      <c r="AC511" s="31"/>
      <c r="AD511" s="44"/>
    </row>
    <row r="512" spans="1:30" s="141" customFormat="1" x14ac:dyDescent="0.25">
      <c r="A512" s="48" t="s">
        <v>18</v>
      </c>
      <c r="B512" s="48" t="s">
        <v>18</v>
      </c>
      <c r="C512" s="48" t="s">
        <v>21</v>
      </c>
      <c r="D512" s="48" t="s">
        <v>18</v>
      </c>
      <c r="E512" s="48" t="s">
        <v>18</v>
      </c>
      <c r="F512" s="48" t="s">
        <v>18</v>
      </c>
      <c r="G512" s="48" t="s">
        <v>18</v>
      </c>
      <c r="H512" s="48" t="s">
        <v>19</v>
      </c>
      <c r="I512" s="48" t="s">
        <v>24</v>
      </c>
      <c r="J512" s="48" t="s">
        <v>18</v>
      </c>
      <c r="K512" s="48" t="s">
        <v>19</v>
      </c>
      <c r="L512" s="48" t="s">
        <v>315</v>
      </c>
      <c r="M512" s="48" t="s">
        <v>18</v>
      </c>
      <c r="N512" s="48" t="s">
        <v>18</v>
      </c>
      <c r="O512" s="48" t="s">
        <v>18</v>
      </c>
      <c r="P512" s="48" t="s">
        <v>18</v>
      </c>
      <c r="Q512" s="48" t="s">
        <v>18</v>
      </c>
      <c r="R512" s="163" t="s">
        <v>296</v>
      </c>
      <c r="S512" s="166" t="s">
        <v>0</v>
      </c>
      <c r="T512" s="1">
        <f>T513+T514</f>
        <v>0</v>
      </c>
      <c r="U512" s="1">
        <f t="shared" ref="U512:Z512" si="122">U513+U514</f>
        <v>0</v>
      </c>
      <c r="V512" s="1">
        <f t="shared" si="122"/>
        <v>0</v>
      </c>
      <c r="W512" s="1">
        <f t="shared" si="122"/>
        <v>0</v>
      </c>
      <c r="X512" s="1">
        <f t="shared" si="122"/>
        <v>0</v>
      </c>
      <c r="Y512" s="1">
        <f t="shared" si="122"/>
        <v>6411</v>
      </c>
      <c r="Z512" s="1">
        <f t="shared" si="122"/>
        <v>9543.5</v>
      </c>
      <c r="AA512" s="53">
        <f>SUM(T512:Z512)</f>
        <v>15954.5</v>
      </c>
      <c r="AB512" s="52">
        <v>2024</v>
      </c>
      <c r="AC512" s="117"/>
      <c r="AD512" s="140"/>
    </row>
    <row r="513" spans="1:31" s="141" customFormat="1" x14ac:dyDescent="0.25">
      <c r="A513" s="48" t="s">
        <v>18</v>
      </c>
      <c r="B513" s="48" t="s">
        <v>18</v>
      </c>
      <c r="C513" s="48" t="s">
        <v>21</v>
      </c>
      <c r="D513" s="48" t="s">
        <v>18</v>
      </c>
      <c r="E513" s="48" t="s">
        <v>18</v>
      </c>
      <c r="F513" s="48" t="s">
        <v>18</v>
      </c>
      <c r="G513" s="48" t="s">
        <v>18</v>
      </c>
      <c r="H513" s="48" t="s">
        <v>19</v>
      </c>
      <c r="I513" s="48" t="s">
        <v>24</v>
      </c>
      <c r="J513" s="48" t="s">
        <v>18</v>
      </c>
      <c r="K513" s="48" t="s">
        <v>19</v>
      </c>
      <c r="L513" s="48" t="s">
        <v>315</v>
      </c>
      <c r="M513" s="48" t="s">
        <v>19</v>
      </c>
      <c r="N513" s="48" t="s">
        <v>23</v>
      </c>
      <c r="O513" s="48" t="s">
        <v>18</v>
      </c>
      <c r="P513" s="48" t="s">
        <v>18</v>
      </c>
      <c r="Q513" s="48" t="s">
        <v>18</v>
      </c>
      <c r="R513" s="164"/>
      <c r="S513" s="167"/>
      <c r="T513" s="1">
        <v>0</v>
      </c>
      <c r="U513" s="1">
        <v>0</v>
      </c>
      <c r="V513" s="1">
        <v>0</v>
      </c>
      <c r="W513" s="1">
        <v>0</v>
      </c>
      <c r="X513" s="1">
        <v>0</v>
      </c>
      <c r="Y513" s="1">
        <v>5769.2</v>
      </c>
      <c r="Z513" s="1">
        <v>8530.5</v>
      </c>
      <c r="AA513" s="53">
        <f t="shared" ref="AA513:AA516" si="123">SUM(T513:Z513)</f>
        <v>14299.7</v>
      </c>
      <c r="AB513" s="52">
        <v>2024</v>
      </c>
      <c r="AC513" s="117"/>
      <c r="AD513" s="140"/>
    </row>
    <row r="514" spans="1:31" s="141" customFormat="1" x14ac:dyDescent="0.25">
      <c r="A514" s="48" t="s">
        <v>18</v>
      </c>
      <c r="B514" s="48" t="s">
        <v>18</v>
      </c>
      <c r="C514" s="48" t="s">
        <v>21</v>
      </c>
      <c r="D514" s="48" t="s">
        <v>18</v>
      </c>
      <c r="E514" s="48" t="s">
        <v>18</v>
      </c>
      <c r="F514" s="48" t="s">
        <v>18</v>
      </c>
      <c r="G514" s="48" t="s">
        <v>18</v>
      </c>
      <c r="H514" s="48" t="s">
        <v>19</v>
      </c>
      <c r="I514" s="48" t="s">
        <v>24</v>
      </c>
      <c r="J514" s="48" t="s">
        <v>18</v>
      </c>
      <c r="K514" s="48" t="s">
        <v>19</v>
      </c>
      <c r="L514" s="48" t="s">
        <v>315</v>
      </c>
      <c r="M514" s="48" t="s">
        <v>19</v>
      </c>
      <c r="N514" s="48" t="s">
        <v>23</v>
      </c>
      <c r="O514" s="48" t="s">
        <v>44</v>
      </c>
      <c r="P514" s="48" t="s">
        <v>18</v>
      </c>
      <c r="Q514" s="48" t="s">
        <v>18</v>
      </c>
      <c r="R514" s="165"/>
      <c r="S514" s="168"/>
      <c r="T514" s="1">
        <v>0</v>
      </c>
      <c r="U514" s="1">
        <v>0</v>
      </c>
      <c r="V514" s="1">
        <v>0</v>
      </c>
      <c r="W514" s="1">
        <v>0</v>
      </c>
      <c r="X514" s="1">
        <v>0</v>
      </c>
      <c r="Y514" s="1">
        <v>641.79999999999995</v>
      </c>
      <c r="Z514" s="1">
        <v>1013</v>
      </c>
      <c r="AA514" s="53">
        <f t="shared" si="123"/>
        <v>1654.8</v>
      </c>
      <c r="AB514" s="52">
        <v>2024</v>
      </c>
      <c r="AC514" s="117"/>
      <c r="AD514" s="140"/>
    </row>
    <row r="515" spans="1:31" s="45" customFormat="1" ht="31.5" x14ac:dyDescent="0.2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67" t="s">
        <v>362</v>
      </c>
      <c r="S515" s="55" t="s">
        <v>50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0.6</v>
      </c>
      <c r="Z515" s="3">
        <v>1.2</v>
      </c>
      <c r="AA515" s="6">
        <f t="shared" si="123"/>
        <v>1.7999999999999998</v>
      </c>
      <c r="AB515" s="37">
        <v>2024</v>
      </c>
      <c r="AC515" s="31"/>
      <c r="AD515" s="44"/>
    </row>
    <row r="516" spans="1:31" s="45" customFormat="1" ht="31.5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67" t="s">
        <v>363</v>
      </c>
      <c r="S516" s="55" t="s">
        <v>37</v>
      </c>
      <c r="T516" s="40">
        <v>0</v>
      </c>
      <c r="U516" s="40">
        <v>0</v>
      </c>
      <c r="V516" s="40">
        <v>0</v>
      </c>
      <c r="W516" s="40">
        <v>0</v>
      </c>
      <c r="X516" s="40">
        <v>0</v>
      </c>
      <c r="Y516" s="40">
        <v>3</v>
      </c>
      <c r="Z516" s="40">
        <v>3</v>
      </c>
      <c r="AA516" s="43">
        <f t="shared" si="123"/>
        <v>6</v>
      </c>
      <c r="AB516" s="37">
        <v>2024</v>
      </c>
      <c r="AC516" s="31"/>
      <c r="AD516" s="44"/>
    </row>
    <row r="517" spans="1:31" s="141" customFormat="1" x14ac:dyDescent="0.25">
      <c r="A517" s="48" t="s">
        <v>18</v>
      </c>
      <c r="B517" s="48" t="s">
        <v>18</v>
      </c>
      <c r="C517" s="48" t="s">
        <v>25</v>
      </c>
      <c r="D517" s="48" t="s">
        <v>18</v>
      </c>
      <c r="E517" s="48" t="s">
        <v>24</v>
      </c>
      <c r="F517" s="48" t="s">
        <v>18</v>
      </c>
      <c r="G517" s="48" t="s">
        <v>42</v>
      </c>
      <c r="H517" s="48" t="s">
        <v>19</v>
      </c>
      <c r="I517" s="48" t="s">
        <v>24</v>
      </c>
      <c r="J517" s="48" t="s">
        <v>18</v>
      </c>
      <c r="K517" s="48" t="s">
        <v>19</v>
      </c>
      <c r="L517" s="48" t="s">
        <v>315</v>
      </c>
      <c r="M517" s="48" t="s">
        <v>18</v>
      </c>
      <c r="N517" s="48" t="s">
        <v>18</v>
      </c>
      <c r="O517" s="48" t="s">
        <v>18</v>
      </c>
      <c r="P517" s="48" t="s">
        <v>18</v>
      </c>
      <c r="Q517" s="48" t="s">
        <v>18</v>
      </c>
      <c r="R517" s="163" t="s">
        <v>296</v>
      </c>
      <c r="S517" s="166" t="s">
        <v>0</v>
      </c>
      <c r="T517" s="1">
        <f>T518+T519</f>
        <v>0</v>
      </c>
      <c r="U517" s="1">
        <f t="shared" ref="U517:Z517" si="124">U518+U519</f>
        <v>0</v>
      </c>
      <c r="V517" s="1">
        <f t="shared" si="124"/>
        <v>0</v>
      </c>
      <c r="W517" s="1">
        <f t="shared" si="124"/>
        <v>0</v>
      </c>
      <c r="X517" s="1">
        <f t="shared" si="124"/>
        <v>0</v>
      </c>
      <c r="Y517" s="1">
        <f t="shared" si="124"/>
        <v>3920.6</v>
      </c>
      <c r="Z517" s="1">
        <f t="shared" si="124"/>
        <v>2716.6</v>
      </c>
      <c r="AA517" s="53">
        <f>SUM(T517:Z517)</f>
        <v>6637.2</v>
      </c>
      <c r="AB517" s="52">
        <v>2024</v>
      </c>
      <c r="AC517" s="117"/>
      <c r="AD517" s="140"/>
    </row>
    <row r="518" spans="1:31" s="141" customFormat="1" x14ac:dyDescent="0.25">
      <c r="A518" s="48" t="s">
        <v>18</v>
      </c>
      <c r="B518" s="48" t="s">
        <v>18</v>
      </c>
      <c r="C518" s="48" t="s">
        <v>25</v>
      </c>
      <c r="D518" s="48" t="s">
        <v>18</v>
      </c>
      <c r="E518" s="48" t="s">
        <v>24</v>
      </c>
      <c r="F518" s="48" t="s">
        <v>18</v>
      </c>
      <c r="G518" s="48" t="s">
        <v>42</v>
      </c>
      <c r="H518" s="48" t="s">
        <v>19</v>
      </c>
      <c r="I518" s="48" t="s">
        <v>24</v>
      </c>
      <c r="J518" s="48" t="s">
        <v>18</v>
      </c>
      <c r="K518" s="48" t="s">
        <v>19</v>
      </c>
      <c r="L518" s="48" t="s">
        <v>315</v>
      </c>
      <c r="M518" s="48" t="s">
        <v>19</v>
      </c>
      <c r="N518" s="48" t="s">
        <v>23</v>
      </c>
      <c r="O518" s="48" t="s">
        <v>18</v>
      </c>
      <c r="P518" s="48" t="s">
        <v>18</v>
      </c>
      <c r="Q518" s="48" t="s">
        <v>18</v>
      </c>
      <c r="R518" s="164"/>
      <c r="S518" s="167"/>
      <c r="T518" s="1">
        <v>0</v>
      </c>
      <c r="U518" s="1">
        <v>0</v>
      </c>
      <c r="V518" s="1">
        <v>0</v>
      </c>
      <c r="W518" s="1">
        <v>0</v>
      </c>
      <c r="X518" s="1">
        <v>0</v>
      </c>
      <c r="Y518" s="1">
        <v>3292.5</v>
      </c>
      <c r="Z518" s="1">
        <f>2534-268.9</f>
        <v>2265.1</v>
      </c>
      <c r="AA518" s="53">
        <f t="shared" ref="AA518:AA521" si="125">SUM(T518:Z518)</f>
        <v>5557.6</v>
      </c>
      <c r="AB518" s="52">
        <v>2024</v>
      </c>
      <c r="AC518" s="117"/>
      <c r="AD518" s="140"/>
    </row>
    <row r="519" spans="1:31" s="141" customFormat="1" x14ac:dyDescent="0.25">
      <c r="A519" s="48" t="s">
        <v>18</v>
      </c>
      <c r="B519" s="48" t="s">
        <v>18</v>
      </c>
      <c r="C519" s="48" t="s">
        <v>25</v>
      </c>
      <c r="D519" s="48" t="s">
        <v>18</v>
      </c>
      <c r="E519" s="48" t="s">
        <v>24</v>
      </c>
      <c r="F519" s="48" t="s">
        <v>18</v>
      </c>
      <c r="G519" s="48" t="s">
        <v>42</v>
      </c>
      <c r="H519" s="48" t="s">
        <v>19</v>
      </c>
      <c r="I519" s="48" t="s">
        <v>24</v>
      </c>
      <c r="J519" s="48" t="s">
        <v>18</v>
      </c>
      <c r="K519" s="48" t="s">
        <v>19</v>
      </c>
      <c r="L519" s="48" t="s">
        <v>315</v>
      </c>
      <c r="M519" s="48" t="s">
        <v>19</v>
      </c>
      <c r="N519" s="48" t="s">
        <v>23</v>
      </c>
      <c r="O519" s="48" t="s">
        <v>44</v>
      </c>
      <c r="P519" s="48" t="s">
        <v>18</v>
      </c>
      <c r="Q519" s="48" t="s">
        <v>18</v>
      </c>
      <c r="R519" s="165"/>
      <c r="S519" s="168"/>
      <c r="T519" s="1">
        <v>0</v>
      </c>
      <c r="U519" s="1">
        <v>0</v>
      </c>
      <c r="V519" s="1">
        <v>0</v>
      </c>
      <c r="W519" s="1">
        <v>0</v>
      </c>
      <c r="X519" s="1">
        <v>0</v>
      </c>
      <c r="Y519" s="1">
        <v>628.1</v>
      </c>
      <c r="Z519" s="1">
        <v>451.5</v>
      </c>
      <c r="AA519" s="53">
        <f t="shared" si="125"/>
        <v>1079.5999999999999</v>
      </c>
      <c r="AB519" s="52">
        <v>2024</v>
      </c>
      <c r="AC519" s="117"/>
      <c r="AD519" s="140"/>
    </row>
    <row r="520" spans="1:31" s="45" customFormat="1" ht="32.25" customHeight="1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67" t="s">
        <v>364</v>
      </c>
      <c r="S520" s="55" t="s">
        <v>50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2.2000000000000002</v>
      </c>
      <c r="Z520" s="3">
        <v>0.9</v>
      </c>
      <c r="AA520" s="6">
        <f t="shared" si="125"/>
        <v>3.1</v>
      </c>
      <c r="AB520" s="37">
        <v>2024</v>
      </c>
      <c r="AC520" s="31"/>
      <c r="AD520" s="44"/>
    </row>
    <row r="521" spans="1:31" s="45" customFormat="1" ht="32.25" customHeight="1" x14ac:dyDescent="0.2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67" t="s">
        <v>365</v>
      </c>
      <c r="S521" s="55" t="s">
        <v>37</v>
      </c>
      <c r="T521" s="40">
        <v>0</v>
      </c>
      <c r="U521" s="40">
        <v>0</v>
      </c>
      <c r="V521" s="40">
        <v>0</v>
      </c>
      <c r="W521" s="40">
        <v>0</v>
      </c>
      <c r="X521" s="40">
        <v>0</v>
      </c>
      <c r="Y521" s="40">
        <v>1</v>
      </c>
      <c r="Z521" s="40">
        <v>1</v>
      </c>
      <c r="AA521" s="43">
        <f t="shared" si="125"/>
        <v>2</v>
      </c>
      <c r="AB521" s="37">
        <v>2024</v>
      </c>
      <c r="AC521" s="31"/>
      <c r="AD521" s="44"/>
    </row>
    <row r="522" spans="1:31" s="45" customFormat="1" ht="31.5" hidden="1" x14ac:dyDescent="0.25">
      <c r="A522" s="48" t="s">
        <v>18</v>
      </c>
      <c r="B522" s="48" t="s">
        <v>18</v>
      </c>
      <c r="C522" s="48" t="s">
        <v>42</v>
      </c>
      <c r="D522" s="48" t="s">
        <v>18</v>
      </c>
      <c r="E522" s="48" t="s">
        <v>21</v>
      </c>
      <c r="F522" s="48" t="s">
        <v>18</v>
      </c>
      <c r="G522" s="48" t="s">
        <v>22</v>
      </c>
      <c r="H522" s="48" t="s">
        <v>19</v>
      </c>
      <c r="I522" s="48" t="s">
        <v>24</v>
      </c>
      <c r="J522" s="48" t="s">
        <v>18</v>
      </c>
      <c r="K522" s="48" t="s">
        <v>19</v>
      </c>
      <c r="L522" s="48" t="s">
        <v>315</v>
      </c>
      <c r="M522" s="48" t="s">
        <v>42</v>
      </c>
      <c r="N522" s="48" t="s">
        <v>42</v>
      </c>
      <c r="O522" s="48" t="s">
        <v>42</v>
      </c>
      <c r="P522" s="48" t="s">
        <v>18</v>
      </c>
      <c r="Q522" s="48" t="s">
        <v>18</v>
      </c>
      <c r="R522" s="66" t="s">
        <v>296</v>
      </c>
      <c r="S522" s="49" t="s">
        <v>0</v>
      </c>
      <c r="T522" s="1">
        <f>10000-9745-255</f>
        <v>0</v>
      </c>
      <c r="U522" s="1">
        <f>226.8-200-26.8</f>
        <v>0</v>
      </c>
      <c r="V522" s="1">
        <f>8228.3-8228.3</f>
        <v>0</v>
      </c>
      <c r="W522" s="1">
        <f>5000-3206.5-1793.5</f>
        <v>0</v>
      </c>
      <c r="X522" s="1">
        <f>5000+11000-11034.6-4965.4</f>
        <v>0</v>
      </c>
      <c r="Y522" s="1">
        <v>0</v>
      </c>
      <c r="Z522" s="1">
        <v>0</v>
      </c>
      <c r="AA522" s="53">
        <f>SUM(T522:Z522)</f>
        <v>0</v>
      </c>
      <c r="AB522" s="52">
        <v>2024</v>
      </c>
      <c r="AC522" s="31"/>
      <c r="AD522" s="44"/>
    </row>
    <row r="523" spans="1:31" s="45" customFormat="1" ht="32.25" hidden="1" customHeight="1" x14ac:dyDescent="0.2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67" t="s">
        <v>366</v>
      </c>
      <c r="S523" s="55" t="s">
        <v>50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6">
        <f t="shared" ref="AA523:AA524" si="126">SUM(T523:Z523)</f>
        <v>0</v>
      </c>
      <c r="AB523" s="37">
        <v>2024</v>
      </c>
      <c r="AC523" s="31"/>
      <c r="AD523" s="44"/>
    </row>
    <row r="524" spans="1:31" s="45" customFormat="1" ht="31.5" hidden="1" customHeight="1" x14ac:dyDescent="0.2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67" t="s">
        <v>367</v>
      </c>
      <c r="S524" s="55" t="s">
        <v>37</v>
      </c>
      <c r="T524" s="40">
        <v>0</v>
      </c>
      <c r="U524" s="40">
        <v>0</v>
      </c>
      <c r="V524" s="40">
        <v>0</v>
      </c>
      <c r="W524" s="40">
        <v>0</v>
      </c>
      <c r="X524" s="40">
        <v>0</v>
      </c>
      <c r="Y524" s="40">
        <v>0</v>
      </c>
      <c r="Z524" s="40">
        <v>0</v>
      </c>
      <c r="AA524" s="43">
        <f t="shared" si="126"/>
        <v>0</v>
      </c>
      <c r="AB524" s="37">
        <v>2024</v>
      </c>
      <c r="AC524" s="31"/>
      <c r="AD524" s="44"/>
    </row>
    <row r="525" spans="1:31" ht="78.75" x14ac:dyDescent="0.25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150" t="s">
        <v>321</v>
      </c>
      <c r="S525" s="49" t="s">
        <v>40</v>
      </c>
      <c r="T525" s="50">
        <v>0</v>
      </c>
      <c r="U525" s="50">
        <v>0</v>
      </c>
      <c r="V525" s="50">
        <v>0</v>
      </c>
      <c r="W525" s="50">
        <v>1</v>
      </c>
      <c r="X525" s="50">
        <v>1</v>
      </c>
      <c r="Y525" s="50">
        <v>0</v>
      </c>
      <c r="Z525" s="50">
        <v>0</v>
      </c>
      <c r="AA525" s="51">
        <v>1</v>
      </c>
      <c r="AB525" s="52">
        <v>2022</v>
      </c>
      <c r="AD525" s="91"/>
      <c r="AE525" s="91"/>
    </row>
    <row r="526" spans="1:31" ht="78.75" x14ac:dyDescent="0.2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67" t="s">
        <v>322</v>
      </c>
      <c r="S526" s="55" t="s">
        <v>37</v>
      </c>
      <c r="T526" s="40">
        <v>0</v>
      </c>
      <c r="U526" s="40">
        <v>0</v>
      </c>
      <c r="V526" s="40">
        <v>0</v>
      </c>
      <c r="W526" s="40">
        <v>4</v>
      </c>
      <c r="X526" s="40">
        <v>4</v>
      </c>
      <c r="Y526" s="40">
        <v>0</v>
      </c>
      <c r="Z526" s="40">
        <v>0</v>
      </c>
      <c r="AA526" s="43">
        <f>SUM(T526:Z526)</f>
        <v>8</v>
      </c>
      <c r="AB526" s="37">
        <v>2022</v>
      </c>
      <c r="AD526" s="91"/>
      <c r="AE526" s="91"/>
    </row>
    <row r="527" spans="1:31" ht="63" x14ac:dyDescent="0.25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150" t="s">
        <v>323</v>
      </c>
      <c r="S527" s="49" t="s">
        <v>40</v>
      </c>
      <c r="T527" s="50">
        <v>0</v>
      </c>
      <c r="U527" s="50">
        <v>0</v>
      </c>
      <c r="V527" s="50">
        <v>0</v>
      </c>
      <c r="W527" s="50">
        <v>1</v>
      </c>
      <c r="X527" s="50">
        <v>1</v>
      </c>
      <c r="Y527" s="50">
        <v>0</v>
      </c>
      <c r="Z527" s="50">
        <v>0</v>
      </c>
      <c r="AA527" s="51">
        <v>1</v>
      </c>
      <c r="AB527" s="52">
        <v>2022</v>
      </c>
      <c r="AD527" s="91"/>
      <c r="AE527" s="91"/>
    </row>
    <row r="528" spans="1:31" ht="63" customHeight="1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67" t="s">
        <v>326</v>
      </c>
      <c r="S528" s="55" t="s">
        <v>37</v>
      </c>
      <c r="T528" s="40">
        <v>0</v>
      </c>
      <c r="U528" s="40">
        <v>0</v>
      </c>
      <c r="V528" s="40">
        <v>0</v>
      </c>
      <c r="W528" s="40">
        <v>12</v>
      </c>
      <c r="X528" s="40">
        <v>12</v>
      </c>
      <c r="Y528" s="40">
        <v>0</v>
      </c>
      <c r="Z528" s="40">
        <v>0</v>
      </c>
      <c r="AA528" s="43">
        <f>SUM(T528:Z528)</f>
        <v>24</v>
      </c>
      <c r="AB528" s="37">
        <v>2022</v>
      </c>
      <c r="AD528" s="91"/>
      <c r="AE528" s="91"/>
    </row>
    <row r="529" spans="1:31" ht="47.25" x14ac:dyDescent="0.25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150" t="s">
        <v>328</v>
      </c>
      <c r="S529" s="49" t="s">
        <v>40</v>
      </c>
      <c r="T529" s="50">
        <v>0</v>
      </c>
      <c r="U529" s="50">
        <v>0</v>
      </c>
      <c r="V529" s="50">
        <v>0</v>
      </c>
      <c r="W529" s="50">
        <v>1</v>
      </c>
      <c r="X529" s="50">
        <v>1</v>
      </c>
      <c r="Y529" s="50">
        <v>1</v>
      </c>
      <c r="Z529" s="50">
        <v>1</v>
      </c>
      <c r="AA529" s="51">
        <v>1</v>
      </c>
      <c r="AB529" s="52">
        <v>2024</v>
      </c>
      <c r="AD529" s="91"/>
      <c r="AE529" s="91"/>
    </row>
    <row r="530" spans="1:31" ht="47.25" x14ac:dyDescent="0.2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67" t="s">
        <v>327</v>
      </c>
      <c r="S530" s="55" t="s">
        <v>50</v>
      </c>
      <c r="T530" s="40">
        <v>0</v>
      </c>
      <c r="U530" s="40">
        <v>0</v>
      </c>
      <c r="V530" s="40">
        <v>0</v>
      </c>
      <c r="W530" s="3">
        <v>20.5</v>
      </c>
      <c r="X530" s="3">
        <f>10+2.7+3.2</f>
        <v>15.899999999999999</v>
      </c>
      <c r="Y530" s="3">
        <v>6.4</v>
      </c>
      <c r="Z530" s="3">
        <f>11.5+0.5+1.1</f>
        <v>13.1</v>
      </c>
      <c r="AA530" s="6">
        <f>SUM(W530:Z530)</f>
        <v>55.9</v>
      </c>
      <c r="AB530" s="37">
        <v>2024</v>
      </c>
      <c r="AD530" s="91"/>
      <c r="AE530" s="91"/>
    </row>
    <row r="531" spans="1:31" ht="47.25" x14ac:dyDescent="0.25">
      <c r="A531" s="42"/>
      <c r="B531" s="42"/>
      <c r="C531" s="42"/>
      <c r="D531" s="42"/>
      <c r="E531" s="42"/>
      <c r="F531" s="42"/>
      <c r="G531" s="42"/>
      <c r="H531" s="42" t="s">
        <v>19</v>
      </c>
      <c r="I531" s="42" t="s">
        <v>24</v>
      </c>
      <c r="J531" s="42" t="s">
        <v>18</v>
      </c>
      <c r="K531" s="42" t="s">
        <v>18</v>
      </c>
      <c r="L531" s="42" t="s">
        <v>22</v>
      </c>
      <c r="M531" s="42" t="s">
        <v>18</v>
      </c>
      <c r="N531" s="42" t="s">
        <v>18</v>
      </c>
      <c r="O531" s="42" t="s">
        <v>18</v>
      </c>
      <c r="P531" s="42" t="s">
        <v>18</v>
      </c>
      <c r="Q531" s="42" t="s">
        <v>18</v>
      </c>
      <c r="R531" s="87" t="s">
        <v>53</v>
      </c>
      <c r="S531" s="127" t="s">
        <v>0</v>
      </c>
      <c r="T531" s="126">
        <f>T535++T552+T555+T576</f>
        <v>7230.2999999999993</v>
      </c>
      <c r="U531" s="126">
        <f>U535++U552+U555+U576+U588+U586+U590+U550</f>
        <v>12898</v>
      </c>
      <c r="V531" s="126">
        <f>V535++V552+V555+V576</f>
        <v>3228.7</v>
      </c>
      <c r="W531" s="126">
        <f>W535++W552+W555+W576</f>
        <v>3490.5999999999995</v>
      </c>
      <c r="X531" s="126">
        <f>X535++X552+X555+X576</f>
        <v>3519.6</v>
      </c>
      <c r="Y531" s="126">
        <f>Y535++Y552+Y555+Y576</f>
        <v>3548.9</v>
      </c>
      <c r="Z531" s="126">
        <f>Z535++Z552+Z555+Z576</f>
        <v>3205</v>
      </c>
      <c r="AA531" s="126">
        <f t="shared" si="109"/>
        <v>37121.1</v>
      </c>
      <c r="AB531" s="127">
        <v>2024</v>
      </c>
      <c r="AC531" s="107"/>
    </row>
    <row r="532" spans="1:31" ht="31.5" x14ac:dyDescent="0.2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138" t="s">
        <v>126</v>
      </c>
      <c r="S532" s="151" t="s">
        <v>31</v>
      </c>
      <c r="T532" s="4">
        <f t="shared" ref="T532:Y532" si="127">T536</f>
        <v>10473.4</v>
      </c>
      <c r="U532" s="4">
        <f t="shared" si="127"/>
        <v>4682.5</v>
      </c>
      <c r="V532" s="4">
        <f t="shared" si="127"/>
        <v>4156.2</v>
      </c>
      <c r="W532" s="4">
        <f t="shared" si="127"/>
        <v>5575.6</v>
      </c>
      <c r="X532" s="4">
        <f t="shared" si="127"/>
        <v>5222</v>
      </c>
      <c r="Y532" s="4">
        <f t="shared" si="127"/>
        <v>4513.7</v>
      </c>
      <c r="Z532" s="4">
        <f t="shared" ref="Z532" si="128">Z536</f>
        <v>3467.3</v>
      </c>
      <c r="AA532" s="5">
        <f t="shared" si="109"/>
        <v>38090.699999999997</v>
      </c>
      <c r="AB532" s="151">
        <v>2024</v>
      </c>
      <c r="AC532" s="31"/>
    </row>
    <row r="533" spans="1:31" ht="31.5" x14ac:dyDescent="0.2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138" t="s">
        <v>127</v>
      </c>
      <c r="S533" s="151" t="s">
        <v>48</v>
      </c>
      <c r="T533" s="40">
        <f t="shared" ref="T533:Y533" si="129">T556</f>
        <v>450</v>
      </c>
      <c r="U533" s="40">
        <f t="shared" si="129"/>
        <v>450</v>
      </c>
      <c r="V533" s="40">
        <f t="shared" si="129"/>
        <v>0</v>
      </c>
      <c r="W533" s="40">
        <f t="shared" si="129"/>
        <v>0</v>
      </c>
      <c r="X533" s="40">
        <f t="shared" si="129"/>
        <v>0</v>
      </c>
      <c r="Y533" s="40">
        <f t="shared" si="129"/>
        <v>0</v>
      </c>
      <c r="Z533" s="40">
        <f t="shared" ref="Z533" si="130">Z556</f>
        <v>0</v>
      </c>
      <c r="AA533" s="41">
        <f t="shared" ref="AA533:AA534" si="131">SUM(T533:Z533)</f>
        <v>900</v>
      </c>
      <c r="AB533" s="151">
        <v>2019</v>
      </c>
      <c r="AC533" s="31"/>
    </row>
    <row r="534" spans="1:31" ht="47.25" x14ac:dyDescent="0.2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138" t="s">
        <v>128</v>
      </c>
      <c r="S534" s="37" t="s">
        <v>37</v>
      </c>
      <c r="T534" s="40">
        <f t="shared" ref="T534:V534" si="132">T577</f>
        <v>27</v>
      </c>
      <c r="U534" s="40">
        <f t="shared" si="132"/>
        <v>4</v>
      </c>
      <c r="V534" s="40">
        <f t="shared" si="132"/>
        <v>16</v>
      </c>
      <c r="W534" s="40">
        <f>W537</f>
        <v>2</v>
      </c>
      <c r="X534" s="40">
        <f t="shared" ref="X534:Z534" si="133">X537</f>
        <v>0</v>
      </c>
      <c r="Y534" s="40">
        <f t="shared" si="133"/>
        <v>1</v>
      </c>
      <c r="Z534" s="40">
        <f t="shared" si="133"/>
        <v>5</v>
      </c>
      <c r="AA534" s="41">
        <f t="shared" si="131"/>
        <v>55</v>
      </c>
      <c r="AB534" s="37">
        <v>2024</v>
      </c>
      <c r="AC534" s="31"/>
    </row>
    <row r="535" spans="1:31" ht="31.5" x14ac:dyDescent="0.25">
      <c r="A535" s="48"/>
      <c r="B535" s="48"/>
      <c r="C535" s="48"/>
      <c r="D535" s="48" t="s">
        <v>18</v>
      </c>
      <c r="E535" s="48" t="s">
        <v>21</v>
      </c>
      <c r="F535" s="48" t="s">
        <v>18</v>
      </c>
      <c r="G535" s="48" t="s">
        <v>22</v>
      </c>
      <c r="H535" s="48" t="s">
        <v>19</v>
      </c>
      <c r="I535" s="48" t="s">
        <v>24</v>
      </c>
      <c r="J535" s="48" t="s">
        <v>18</v>
      </c>
      <c r="K535" s="48" t="s">
        <v>18</v>
      </c>
      <c r="L535" s="48" t="s">
        <v>22</v>
      </c>
      <c r="M535" s="48" t="s">
        <v>42</v>
      </c>
      <c r="N535" s="48" t="s">
        <v>42</v>
      </c>
      <c r="O535" s="48" t="s">
        <v>42</v>
      </c>
      <c r="P535" s="48" t="s">
        <v>42</v>
      </c>
      <c r="Q535" s="48" t="s">
        <v>42</v>
      </c>
      <c r="R535" s="66" t="s">
        <v>129</v>
      </c>
      <c r="S535" s="52" t="s">
        <v>0</v>
      </c>
      <c r="T535" s="53">
        <f>T538+T544+T541+T547</f>
        <v>5760.9</v>
      </c>
      <c r="U535" s="53">
        <f t="shared" ref="U535:Y535" si="134">U538+U544+U541+U547</f>
        <v>5337.7</v>
      </c>
      <c r="V535" s="53">
        <f>V538+V544+V541+V547</f>
        <v>3171</v>
      </c>
      <c r="W535" s="53">
        <f t="shared" si="134"/>
        <v>3490.5999999999995</v>
      </c>
      <c r="X535" s="53">
        <f t="shared" si="134"/>
        <v>3519.6</v>
      </c>
      <c r="Y535" s="53">
        <f t="shared" si="134"/>
        <v>3548.9</v>
      </c>
      <c r="Z535" s="53">
        <f t="shared" ref="Z535" si="135">Z538+Z544+Z541+Z547</f>
        <v>3205</v>
      </c>
      <c r="AA535" s="53">
        <f t="shared" ref="AA535:AA553" si="136">SUM(T535:Z535)</f>
        <v>28033.699999999997</v>
      </c>
      <c r="AB535" s="52">
        <v>2024</v>
      </c>
      <c r="AC535" s="107"/>
    </row>
    <row r="536" spans="1:31" ht="31.5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80" t="s">
        <v>126</v>
      </c>
      <c r="S536" s="151" t="s">
        <v>31</v>
      </c>
      <c r="T536" s="3">
        <f>T539+T542+T545+T548</f>
        <v>10473.4</v>
      </c>
      <c r="U536" s="3">
        <f t="shared" ref="U536:Y536" si="137">U539+U542+U545+U548</f>
        <v>4682.5</v>
      </c>
      <c r="V536" s="3">
        <f t="shared" si="137"/>
        <v>4156.2</v>
      </c>
      <c r="W536" s="3">
        <f t="shared" si="137"/>
        <v>5575.6</v>
      </c>
      <c r="X536" s="3">
        <f>X539+X542+X545+X548</f>
        <v>5222</v>
      </c>
      <c r="Y536" s="3">
        <f t="shared" si="137"/>
        <v>4513.7</v>
      </c>
      <c r="Z536" s="3">
        <f t="shared" ref="Z536:Z537" si="138">Z539+Z542+Z545+Z548</f>
        <v>3467.3</v>
      </c>
      <c r="AA536" s="5">
        <f t="shared" si="136"/>
        <v>38090.699999999997</v>
      </c>
      <c r="AB536" s="37">
        <v>2024</v>
      </c>
      <c r="AC536" s="110"/>
      <c r="AD536" s="89"/>
    </row>
    <row r="537" spans="1:31" ht="47.25" x14ac:dyDescent="0.2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80" t="s">
        <v>299</v>
      </c>
      <c r="S537" s="151" t="s">
        <v>37</v>
      </c>
      <c r="T537" s="40">
        <f>T540+T543+T546+T549</f>
        <v>0</v>
      </c>
      <c r="U537" s="40">
        <f t="shared" ref="U537:Y537" si="139">U540+U543+U546+U549</f>
        <v>0</v>
      </c>
      <c r="V537" s="40">
        <f t="shared" si="139"/>
        <v>0</v>
      </c>
      <c r="W537" s="40">
        <f t="shared" si="139"/>
        <v>2</v>
      </c>
      <c r="X537" s="40">
        <f t="shared" si="139"/>
        <v>0</v>
      </c>
      <c r="Y537" s="40">
        <f t="shared" si="139"/>
        <v>1</v>
      </c>
      <c r="Z537" s="40">
        <f t="shared" si="138"/>
        <v>5</v>
      </c>
      <c r="AA537" s="41">
        <f t="shared" si="136"/>
        <v>8</v>
      </c>
      <c r="AB537" s="37">
        <v>2024</v>
      </c>
      <c r="AC537" s="110"/>
      <c r="AD537" s="89"/>
    </row>
    <row r="538" spans="1:31" ht="31.5" x14ac:dyDescent="0.25">
      <c r="A538" s="48" t="s">
        <v>18</v>
      </c>
      <c r="B538" s="48" t="s">
        <v>18</v>
      </c>
      <c r="C538" s="48" t="s">
        <v>22</v>
      </c>
      <c r="D538" s="48" t="s">
        <v>18</v>
      </c>
      <c r="E538" s="48" t="s">
        <v>21</v>
      </c>
      <c r="F538" s="48" t="s">
        <v>18</v>
      </c>
      <c r="G538" s="48" t="s">
        <v>22</v>
      </c>
      <c r="H538" s="48" t="s">
        <v>19</v>
      </c>
      <c r="I538" s="48" t="s">
        <v>24</v>
      </c>
      <c r="J538" s="48" t="s">
        <v>18</v>
      </c>
      <c r="K538" s="48" t="s">
        <v>18</v>
      </c>
      <c r="L538" s="48" t="s">
        <v>22</v>
      </c>
      <c r="M538" s="48" t="s">
        <v>42</v>
      </c>
      <c r="N538" s="48" t="s">
        <v>42</v>
      </c>
      <c r="O538" s="48" t="s">
        <v>42</v>
      </c>
      <c r="P538" s="48" t="s">
        <v>42</v>
      </c>
      <c r="Q538" s="48" t="s">
        <v>42</v>
      </c>
      <c r="R538" s="66" t="s">
        <v>130</v>
      </c>
      <c r="S538" s="49" t="s">
        <v>0</v>
      </c>
      <c r="T538" s="1">
        <f>3617.1-376.2-40-150</f>
        <v>3050.9</v>
      </c>
      <c r="U538" s="1">
        <f>2917.1-100</f>
        <v>2817.1</v>
      </c>
      <c r="V538" s="1">
        <v>1090.5999999999999</v>
      </c>
      <c r="W538" s="1">
        <f>2417.1-692.3-89.8</f>
        <v>1635</v>
      </c>
      <c r="X538" s="1">
        <f>2417.1-467.5-290.9</f>
        <v>1658.6999999999998</v>
      </c>
      <c r="Y538" s="1">
        <f>2417.1-117-540.9</f>
        <v>1759.1999999999998</v>
      </c>
      <c r="Z538" s="1">
        <f>2017.1-260.1-518.5</f>
        <v>1238.5</v>
      </c>
      <c r="AA538" s="53">
        <f t="shared" si="136"/>
        <v>13250</v>
      </c>
      <c r="AB538" s="52">
        <v>2024</v>
      </c>
      <c r="AC538" s="106"/>
      <c r="AD538" s="89"/>
      <c r="AE538" s="89"/>
    </row>
    <row r="539" spans="1:31" ht="31.5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69" t="s">
        <v>300</v>
      </c>
      <c r="S539" s="151" t="s">
        <v>31</v>
      </c>
      <c r="T539" s="3">
        <v>4849</v>
      </c>
      <c r="U539" s="3">
        <f>4307-1114</f>
        <v>3193</v>
      </c>
      <c r="V539" s="3">
        <v>1569</v>
      </c>
      <c r="W539" s="3">
        <v>2700</v>
      </c>
      <c r="X539" s="3">
        <v>2653</v>
      </c>
      <c r="Y539" s="3">
        <v>2677.7</v>
      </c>
      <c r="Z539" s="3">
        <v>1814</v>
      </c>
      <c r="AA539" s="5">
        <f t="shared" si="136"/>
        <v>19455.7</v>
      </c>
      <c r="AB539" s="37">
        <v>2024</v>
      </c>
      <c r="AC539" s="110"/>
      <c r="AD539" s="89"/>
    </row>
    <row r="540" spans="1:31" ht="47.25" x14ac:dyDescent="0.2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69" t="s">
        <v>301</v>
      </c>
      <c r="S540" s="151" t="s">
        <v>37</v>
      </c>
      <c r="T540" s="40">
        <v>0</v>
      </c>
      <c r="U540" s="40">
        <v>0</v>
      </c>
      <c r="V540" s="40">
        <v>0</v>
      </c>
      <c r="W540" s="40">
        <v>0</v>
      </c>
      <c r="X540" s="40">
        <v>0</v>
      </c>
      <c r="Y540" s="40">
        <v>1</v>
      </c>
      <c r="Z540" s="40">
        <v>1</v>
      </c>
      <c r="AA540" s="41">
        <f t="shared" si="136"/>
        <v>2</v>
      </c>
      <c r="AB540" s="37">
        <v>2024</v>
      </c>
      <c r="AC540" s="110"/>
      <c r="AD540" s="89"/>
    </row>
    <row r="541" spans="1:31" ht="31.5" x14ac:dyDescent="0.25">
      <c r="A541" s="48" t="s">
        <v>18</v>
      </c>
      <c r="B541" s="48" t="s">
        <v>18</v>
      </c>
      <c r="C541" s="48" t="s">
        <v>24</v>
      </c>
      <c r="D541" s="48" t="s">
        <v>18</v>
      </c>
      <c r="E541" s="48" t="s">
        <v>21</v>
      </c>
      <c r="F541" s="48" t="s">
        <v>18</v>
      </c>
      <c r="G541" s="48" t="s">
        <v>22</v>
      </c>
      <c r="H541" s="48" t="s">
        <v>19</v>
      </c>
      <c r="I541" s="48" t="s">
        <v>24</v>
      </c>
      <c r="J541" s="48" t="s">
        <v>18</v>
      </c>
      <c r="K541" s="48" t="s">
        <v>18</v>
      </c>
      <c r="L541" s="48" t="s">
        <v>22</v>
      </c>
      <c r="M541" s="48" t="s">
        <v>42</v>
      </c>
      <c r="N541" s="48" t="s">
        <v>42</v>
      </c>
      <c r="O541" s="48" t="s">
        <v>42</v>
      </c>
      <c r="P541" s="48" t="s">
        <v>42</v>
      </c>
      <c r="Q541" s="48" t="s">
        <v>42</v>
      </c>
      <c r="R541" s="66" t="s">
        <v>131</v>
      </c>
      <c r="S541" s="49" t="s">
        <v>0</v>
      </c>
      <c r="T541" s="1">
        <f>398.5-63.6-24.8</f>
        <v>310.09999999999997</v>
      </c>
      <c r="U541" s="1">
        <f>398.5-18.9</f>
        <v>379.6</v>
      </c>
      <c r="V541" s="1">
        <f>398.5-27.6</f>
        <v>370.9</v>
      </c>
      <c r="W541" s="1">
        <f>399.6-9.9</f>
        <v>389.70000000000005</v>
      </c>
      <c r="X541" s="1">
        <v>392.5</v>
      </c>
      <c r="Y541" s="1">
        <f>399.6+150-10.6</f>
        <v>539</v>
      </c>
      <c r="Z541" s="1">
        <f>399.6+118</f>
        <v>517.6</v>
      </c>
      <c r="AA541" s="53">
        <f t="shared" si="136"/>
        <v>2899.4</v>
      </c>
      <c r="AB541" s="52">
        <v>2024</v>
      </c>
      <c r="AC541" s="106"/>
      <c r="AD541" s="89"/>
    </row>
    <row r="542" spans="1:31" ht="31.5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69" t="s">
        <v>302</v>
      </c>
      <c r="S542" s="151" t="s">
        <v>31</v>
      </c>
      <c r="T542" s="4">
        <v>421.4</v>
      </c>
      <c r="U542" s="4">
        <v>195</v>
      </c>
      <c r="V542" s="4">
        <v>554</v>
      </c>
      <c r="W542" s="3">
        <v>447</v>
      </c>
      <c r="X542" s="3">
        <v>444</v>
      </c>
      <c r="Y542" s="3">
        <v>660.7</v>
      </c>
      <c r="Z542" s="3">
        <v>477</v>
      </c>
      <c r="AA542" s="6">
        <f t="shared" si="136"/>
        <v>3199.1000000000004</v>
      </c>
      <c r="AB542" s="37">
        <v>2024</v>
      </c>
      <c r="AC542" s="110"/>
      <c r="AD542" s="89"/>
    </row>
    <row r="543" spans="1:31" ht="47.25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69" t="s">
        <v>303</v>
      </c>
      <c r="S543" s="151" t="s">
        <v>37</v>
      </c>
      <c r="T543" s="2">
        <v>0</v>
      </c>
      <c r="U543" s="2">
        <v>0</v>
      </c>
      <c r="V543" s="2">
        <v>0</v>
      </c>
      <c r="W543" s="40">
        <v>0</v>
      </c>
      <c r="X543" s="40">
        <v>0</v>
      </c>
      <c r="Y543" s="40">
        <v>0</v>
      </c>
      <c r="Z543" s="40">
        <v>1</v>
      </c>
      <c r="AA543" s="43">
        <f t="shared" ref="AA543" si="140">SUM(T543:Z543)</f>
        <v>1</v>
      </c>
      <c r="AB543" s="37">
        <v>2024</v>
      </c>
      <c r="AC543" s="110"/>
      <c r="AD543" s="89"/>
    </row>
    <row r="544" spans="1:31" ht="31.5" x14ac:dyDescent="0.25">
      <c r="A544" s="48" t="s">
        <v>18</v>
      </c>
      <c r="B544" s="48" t="s">
        <v>18</v>
      </c>
      <c r="C544" s="48" t="s">
        <v>21</v>
      </c>
      <c r="D544" s="48" t="s">
        <v>18</v>
      </c>
      <c r="E544" s="48" t="s">
        <v>21</v>
      </c>
      <c r="F544" s="48" t="s">
        <v>18</v>
      </c>
      <c r="G544" s="48" t="s">
        <v>22</v>
      </c>
      <c r="H544" s="48" t="s">
        <v>19</v>
      </c>
      <c r="I544" s="48" t="s">
        <v>24</v>
      </c>
      <c r="J544" s="48" t="s">
        <v>18</v>
      </c>
      <c r="K544" s="48" t="s">
        <v>18</v>
      </c>
      <c r="L544" s="48" t="s">
        <v>22</v>
      </c>
      <c r="M544" s="48" t="s">
        <v>42</v>
      </c>
      <c r="N544" s="48" t="s">
        <v>42</v>
      </c>
      <c r="O544" s="48" t="s">
        <v>42</v>
      </c>
      <c r="P544" s="48" t="s">
        <v>42</v>
      </c>
      <c r="Q544" s="48" t="s">
        <v>42</v>
      </c>
      <c r="R544" s="150" t="s">
        <v>132</v>
      </c>
      <c r="S544" s="49" t="s">
        <v>0</v>
      </c>
      <c r="T544" s="1">
        <f>1961.8-500-47.8</f>
        <v>1414</v>
      </c>
      <c r="U544" s="1">
        <f>1163-0.4</f>
        <v>1162.5999999999999</v>
      </c>
      <c r="V544" s="1">
        <f>1165.6-57.2</f>
        <v>1108.3999999999999</v>
      </c>
      <c r="W544" s="1">
        <f>1166.9-121.7</f>
        <v>1045.2</v>
      </c>
      <c r="X544" s="1">
        <f>1166.9-27.1+21</f>
        <v>1160.8000000000002</v>
      </c>
      <c r="Y544" s="1">
        <f>1166.9-225.5</f>
        <v>941.40000000000009</v>
      </c>
      <c r="Z544" s="1">
        <f>1166.9-93</f>
        <v>1073.9000000000001</v>
      </c>
      <c r="AA544" s="53">
        <f t="shared" si="136"/>
        <v>7906.2999999999993</v>
      </c>
      <c r="AB544" s="52">
        <v>2024</v>
      </c>
      <c r="AC544" s="106"/>
      <c r="AD544" s="89"/>
    </row>
    <row r="545" spans="1:34" ht="31.5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69" t="s">
        <v>311</v>
      </c>
      <c r="S545" s="151" t="s">
        <v>31</v>
      </c>
      <c r="T545" s="4">
        <v>3300</v>
      </c>
      <c r="U545" s="4">
        <v>1194.5</v>
      </c>
      <c r="V545" s="4">
        <v>1600</v>
      </c>
      <c r="W545" s="3">
        <v>1904.6</v>
      </c>
      <c r="X545" s="3">
        <v>1556</v>
      </c>
      <c r="Y545" s="3">
        <v>912.5</v>
      </c>
      <c r="Z545" s="3">
        <v>850.8</v>
      </c>
      <c r="AA545" s="5">
        <f t="shared" si="136"/>
        <v>11318.4</v>
      </c>
      <c r="AB545" s="37">
        <v>2024</v>
      </c>
      <c r="AC545" s="110"/>
      <c r="AD545" s="89"/>
    </row>
    <row r="546" spans="1:34" ht="47.25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69" t="s">
        <v>312</v>
      </c>
      <c r="S546" s="151" t="s">
        <v>37</v>
      </c>
      <c r="T546" s="2">
        <v>0</v>
      </c>
      <c r="U546" s="2">
        <v>0</v>
      </c>
      <c r="V546" s="2">
        <v>0</v>
      </c>
      <c r="W546" s="40">
        <v>1</v>
      </c>
      <c r="X546" s="40">
        <v>0</v>
      </c>
      <c r="Y546" s="40">
        <v>0</v>
      </c>
      <c r="Z546" s="40">
        <v>2</v>
      </c>
      <c r="AA546" s="41">
        <f t="shared" ref="AA546" si="141">SUM(T546:Z546)</f>
        <v>3</v>
      </c>
      <c r="AB546" s="37">
        <v>2024</v>
      </c>
      <c r="AC546" s="125"/>
      <c r="AD546" s="89"/>
    </row>
    <row r="547" spans="1:34" ht="31.5" x14ac:dyDescent="0.25">
      <c r="A547" s="48" t="s">
        <v>18</v>
      </c>
      <c r="B547" s="48" t="s">
        <v>18</v>
      </c>
      <c r="C547" s="48" t="s">
        <v>25</v>
      </c>
      <c r="D547" s="48" t="s">
        <v>18</v>
      </c>
      <c r="E547" s="48" t="s">
        <v>21</v>
      </c>
      <c r="F547" s="48" t="s">
        <v>18</v>
      </c>
      <c r="G547" s="48" t="s">
        <v>22</v>
      </c>
      <c r="H547" s="48" t="s">
        <v>19</v>
      </c>
      <c r="I547" s="48" t="s">
        <v>24</v>
      </c>
      <c r="J547" s="48" t="s">
        <v>18</v>
      </c>
      <c r="K547" s="48" t="s">
        <v>18</v>
      </c>
      <c r="L547" s="48" t="s">
        <v>22</v>
      </c>
      <c r="M547" s="48" t="s">
        <v>42</v>
      </c>
      <c r="N547" s="48" t="s">
        <v>42</v>
      </c>
      <c r="O547" s="48" t="s">
        <v>42</v>
      </c>
      <c r="P547" s="48" t="s">
        <v>42</v>
      </c>
      <c r="Q547" s="48" t="s">
        <v>42</v>
      </c>
      <c r="R547" s="150" t="s">
        <v>133</v>
      </c>
      <c r="S547" s="49" t="s">
        <v>0</v>
      </c>
      <c r="T547" s="1">
        <f>1502-455.3-60.8</f>
        <v>985.90000000000009</v>
      </c>
      <c r="U547" s="1">
        <f>1000-21.6</f>
        <v>978.4</v>
      </c>
      <c r="V547" s="1">
        <f>700-98.9</f>
        <v>601.1</v>
      </c>
      <c r="W547" s="1">
        <f>500.4-79.7</f>
        <v>420.7</v>
      </c>
      <c r="X547" s="1">
        <f>328.2-20.6</f>
        <v>307.59999999999997</v>
      </c>
      <c r="Y547" s="1">
        <f>328.2-18.9</f>
        <v>309.3</v>
      </c>
      <c r="Z547" s="1">
        <f>370+5</f>
        <v>375</v>
      </c>
      <c r="AA547" s="53">
        <f t="shared" si="136"/>
        <v>3978</v>
      </c>
      <c r="AB547" s="52">
        <v>2024</v>
      </c>
      <c r="AC547" s="107"/>
      <c r="AD547" s="10"/>
    </row>
    <row r="548" spans="1:34" ht="31.5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67" t="s">
        <v>313</v>
      </c>
      <c r="S548" s="151" t="s">
        <v>31</v>
      </c>
      <c r="T548" s="3">
        <v>1903</v>
      </c>
      <c r="U548" s="3">
        <v>100</v>
      </c>
      <c r="V548" s="3">
        <v>433.2</v>
      </c>
      <c r="W548" s="3">
        <v>524</v>
      </c>
      <c r="X548" s="3">
        <v>569</v>
      </c>
      <c r="Y548" s="3">
        <v>262.8</v>
      </c>
      <c r="Z548" s="3">
        <v>325.5</v>
      </c>
      <c r="AA548" s="5">
        <f t="shared" si="136"/>
        <v>4117.5</v>
      </c>
      <c r="AB548" s="37">
        <v>2024</v>
      </c>
      <c r="AC548" s="110"/>
      <c r="AD548" s="89"/>
    </row>
    <row r="549" spans="1:34" ht="47.25" x14ac:dyDescent="0.2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69" t="s">
        <v>314</v>
      </c>
      <c r="S549" s="151" t="s">
        <v>37</v>
      </c>
      <c r="T549" s="40">
        <v>0</v>
      </c>
      <c r="U549" s="40">
        <v>0</v>
      </c>
      <c r="V549" s="40">
        <v>0</v>
      </c>
      <c r="W549" s="40">
        <v>1</v>
      </c>
      <c r="X549" s="40">
        <v>0</v>
      </c>
      <c r="Y549" s="40">
        <v>0</v>
      </c>
      <c r="Z549" s="40">
        <v>1</v>
      </c>
      <c r="AA549" s="41">
        <f t="shared" ref="AA549" si="142">SUM(T549:Z549)</f>
        <v>2</v>
      </c>
      <c r="AB549" s="37">
        <v>2024</v>
      </c>
      <c r="AC549" s="125"/>
      <c r="AD549" s="89"/>
    </row>
    <row r="550" spans="1:34" s="84" customFormat="1" ht="33" customHeight="1" x14ac:dyDescent="0.25">
      <c r="A550" s="48" t="s">
        <v>18</v>
      </c>
      <c r="B550" s="48" t="s">
        <v>19</v>
      </c>
      <c r="C550" s="48" t="s">
        <v>20</v>
      </c>
      <c r="D550" s="48" t="s">
        <v>18</v>
      </c>
      <c r="E550" s="48" t="s">
        <v>24</v>
      </c>
      <c r="F550" s="48" t="s">
        <v>18</v>
      </c>
      <c r="G550" s="48" t="s">
        <v>21</v>
      </c>
      <c r="H550" s="48" t="s">
        <v>19</v>
      </c>
      <c r="I550" s="48" t="s">
        <v>24</v>
      </c>
      <c r="J550" s="48" t="s">
        <v>18</v>
      </c>
      <c r="K550" s="48" t="s">
        <v>18</v>
      </c>
      <c r="L550" s="48" t="s">
        <v>22</v>
      </c>
      <c r="M550" s="48" t="s">
        <v>42</v>
      </c>
      <c r="N550" s="48" t="s">
        <v>42</v>
      </c>
      <c r="O550" s="48" t="s">
        <v>42</v>
      </c>
      <c r="P550" s="48" t="s">
        <v>42</v>
      </c>
      <c r="Q550" s="48" t="s">
        <v>42</v>
      </c>
      <c r="R550" s="149" t="s">
        <v>329</v>
      </c>
      <c r="S550" s="52" t="s">
        <v>0</v>
      </c>
      <c r="T550" s="53">
        <v>0</v>
      </c>
      <c r="U550" s="53">
        <v>6000</v>
      </c>
      <c r="V550" s="53">
        <v>0</v>
      </c>
      <c r="W550" s="53">
        <v>0</v>
      </c>
      <c r="X550" s="53">
        <v>0</v>
      </c>
      <c r="Y550" s="53">
        <v>0</v>
      </c>
      <c r="Z550" s="53">
        <v>0</v>
      </c>
      <c r="AA550" s="53">
        <f>T550+U550+V550+W550+X550+Y550</f>
        <v>6000</v>
      </c>
      <c r="AB550" s="52">
        <v>2019</v>
      </c>
      <c r="AC550" s="137"/>
    </row>
    <row r="551" spans="1:34" s="62" customFormat="1" ht="47.25" x14ac:dyDescent="0.2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67" t="s">
        <v>279</v>
      </c>
      <c r="S551" s="37" t="s">
        <v>37</v>
      </c>
      <c r="T551" s="37">
        <v>0</v>
      </c>
      <c r="U551" s="37">
        <v>1</v>
      </c>
      <c r="V551" s="37">
        <v>0</v>
      </c>
      <c r="W551" s="37">
        <v>0</v>
      </c>
      <c r="X551" s="37">
        <v>0</v>
      </c>
      <c r="Y551" s="37">
        <v>0</v>
      </c>
      <c r="Z551" s="37">
        <v>0</v>
      </c>
      <c r="AA551" s="43">
        <f>U551</f>
        <v>1</v>
      </c>
      <c r="AB551" s="37">
        <v>2019</v>
      </c>
      <c r="AC551" s="98"/>
    </row>
    <row r="552" spans="1:34" s="131" customFormat="1" ht="46.9" hidden="1" customHeight="1" x14ac:dyDescent="0.25">
      <c r="A552" s="19" t="s">
        <v>18</v>
      </c>
      <c r="B552" s="19" t="s">
        <v>24</v>
      </c>
      <c r="C552" s="19" t="s">
        <v>22</v>
      </c>
      <c r="D552" s="19" t="s">
        <v>18</v>
      </c>
      <c r="E552" s="19" t="s">
        <v>21</v>
      </c>
      <c r="F552" s="19" t="s">
        <v>18</v>
      </c>
      <c r="G552" s="19" t="s">
        <v>22</v>
      </c>
      <c r="H552" s="19" t="s">
        <v>19</v>
      </c>
      <c r="I552" s="19" t="s">
        <v>24</v>
      </c>
      <c r="J552" s="19" t="s">
        <v>18</v>
      </c>
      <c r="K552" s="19" t="s">
        <v>18</v>
      </c>
      <c r="L552" s="19" t="s">
        <v>22</v>
      </c>
      <c r="M552" s="19" t="s">
        <v>42</v>
      </c>
      <c r="N552" s="19" t="s">
        <v>42</v>
      </c>
      <c r="O552" s="19" t="s">
        <v>42</v>
      </c>
      <c r="P552" s="19" t="s">
        <v>42</v>
      </c>
      <c r="Q552" s="19" t="s">
        <v>42</v>
      </c>
      <c r="R552" s="129" t="s">
        <v>316</v>
      </c>
      <c r="S552" s="57" t="s">
        <v>0</v>
      </c>
      <c r="T552" s="130">
        <v>0</v>
      </c>
      <c r="U552" s="130">
        <v>0</v>
      </c>
      <c r="V552" s="130">
        <v>0</v>
      </c>
      <c r="W552" s="130">
        <v>0</v>
      </c>
      <c r="X552" s="130">
        <v>0</v>
      </c>
      <c r="Y552" s="130">
        <v>0</v>
      </c>
      <c r="Z552" s="130">
        <v>0</v>
      </c>
      <c r="AA552" s="22">
        <f t="shared" si="136"/>
        <v>0</v>
      </c>
      <c r="AB552" s="21">
        <v>2024</v>
      </c>
      <c r="AC552" s="31"/>
    </row>
    <row r="553" spans="1:34" s="131" customFormat="1" ht="31.15" hidden="1" customHeight="1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20" t="s">
        <v>317</v>
      </c>
      <c r="S553" s="57" t="s">
        <v>31</v>
      </c>
      <c r="T553" s="130">
        <v>0</v>
      </c>
      <c r="U553" s="130">
        <v>0</v>
      </c>
      <c r="V553" s="130">
        <v>0</v>
      </c>
      <c r="W553" s="130">
        <v>0</v>
      </c>
      <c r="X553" s="130">
        <v>0</v>
      </c>
      <c r="Y553" s="130">
        <v>0</v>
      </c>
      <c r="Z553" s="130">
        <v>0</v>
      </c>
      <c r="AA553" s="22">
        <f t="shared" si="136"/>
        <v>0</v>
      </c>
      <c r="AB553" s="57">
        <v>2024</v>
      </c>
      <c r="AC553" s="107"/>
      <c r="AD553" s="132"/>
      <c r="AE553" s="133"/>
      <c r="AF553" s="133"/>
      <c r="AG553" s="133"/>
      <c r="AH553" s="134"/>
    </row>
    <row r="554" spans="1:34" ht="0.75" hidden="1" customHeight="1" x14ac:dyDescent="0.25">
      <c r="A554" s="48"/>
      <c r="B554" s="48"/>
      <c r="C554" s="48"/>
      <c r="D554" s="48" t="s">
        <v>18</v>
      </c>
      <c r="E554" s="48" t="s">
        <v>21</v>
      </c>
      <c r="F554" s="48" t="s">
        <v>18</v>
      </c>
      <c r="G554" s="48" t="s">
        <v>22</v>
      </c>
      <c r="H554" s="48" t="s">
        <v>18</v>
      </c>
      <c r="I554" s="48" t="s">
        <v>23</v>
      </c>
      <c r="J554" s="48" t="s">
        <v>18</v>
      </c>
      <c r="K554" s="48" t="s">
        <v>18</v>
      </c>
      <c r="L554" s="48" t="s">
        <v>20</v>
      </c>
      <c r="M554" s="48" t="s">
        <v>19</v>
      </c>
      <c r="N554" s="48" t="s">
        <v>18</v>
      </c>
      <c r="O554" s="48" t="s">
        <v>21</v>
      </c>
      <c r="P554" s="48" t="s">
        <v>21</v>
      </c>
      <c r="Q554" s="48" t="s">
        <v>18</v>
      </c>
      <c r="R554" s="157" t="s">
        <v>134</v>
      </c>
      <c r="S554" s="49" t="s">
        <v>0</v>
      </c>
      <c r="T554" s="1">
        <f t="shared" ref="T554:Y555" si="143">T557+T560+T563+T566</f>
        <v>1308.2000000000003</v>
      </c>
      <c r="U554" s="1">
        <f t="shared" si="143"/>
        <v>1308.2000000000003</v>
      </c>
      <c r="V554" s="1">
        <f t="shared" si="143"/>
        <v>1308.2000000000003</v>
      </c>
      <c r="W554" s="1">
        <f t="shared" si="143"/>
        <v>1308.2000000000003</v>
      </c>
      <c r="X554" s="1">
        <f t="shared" si="143"/>
        <v>1308.2000000000003</v>
      </c>
      <c r="Y554" s="1">
        <f t="shared" si="143"/>
        <v>1308.2000000000003</v>
      </c>
      <c r="Z554" s="1">
        <f t="shared" ref="Z554" si="144">Z557+Z560+Z563+Z566</f>
        <v>1308.2000000000003</v>
      </c>
      <c r="AA554" s="53">
        <f>T554+U554+V554+W554+X554+Y554</f>
        <v>7849.2000000000025</v>
      </c>
      <c r="AB554" s="63">
        <v>2016</v>
      </c>
      <c r="AC554" s="31"/>
      <c r="AD554" s="10"/>
      <c r="AE554" s="10"/>
    </row>
    <row r="555" spans="1:34" ht="31.5" x14ac:dyDescent="0.25">
      <c r="A555" s="48"/>
      <c r="B555" s="48"/>
      <c r="C555" s="48"/>
      <c r="D555" s="48" t="s">
        <v>18</v>
      </c>
      <c r="E555" s="48" t="s">
        <v>24</v>
      </c>
      <c r="F555" s="48" t="s">
        <v>18</v>
      </c>
      <c r="G555" s="48" t="s">
        <v>21</v>
      </c>
      <c r="H555" s="48" t="s">
        <v>19</v>
      </c>
      <c r="I555" s="48" t="s">
        <v>24</v>
      </c>
      <c r="J555" s="48" t="s">
        <v>18</v>
      </c>
      <c r="K555" s="48" t="s">
        <v>18</v>
      </c>
      <c r="L555" s="48" t="s">
        <v>22</v>
      </c>
      <c r="M555" s="48" t="s">
        <v>19</v>
      </c>
      <c r="N555" s="48" t="s">
        <v>18</v>
      </c>
      <c r="O555" s="48" t="s">
        <v>21</v>
      </c>
      <c r="P555" s="48" t="s">
        <v>21</v>
      </c>
      <c r="Q555" s="48" t="s">
        <v>18</v>
      </c>
      <c r="R555" s="157"/>
      <c r="S555" s="52" t="s">
        <v>0</v>
      </c>
      <c r="T555" s="53">
        <f t="shared" si="143"/>
        <v>1399.4</v>
      </c>
      <c r="U555" s="53">
        <f>U558+U561+U564+U567+U571</f>
        <v>802.7</v>
      </c>
      <c r="V555" s="53">
        <f t="shared" si="143"/>
        <v>0</v>
      </c>
      <c r="W555" s="53">
        <f t="shared" si="143"/>
        <v>0</v>
      </c>
      <c r="X555" s="53">
        <f t="shared" si="143"/>
        <v>0</v>
      </c>
      <c r="Y555" s="53">
        <f t="shared" si="143"/>
        <v>0</v>
      </c>
      <c r="Z555" s="53">
        <f t="shared" ref="Z555" si="145">Z558+Z561+Z564+Z567</f>
        <v>0</v>
      </c>
      <c r="AA555" s="53">
        <f>SUM(T555:Z555)</f>
        <v>2202.1000000000004</v>
      </c>
      <c r="AB555" s="52">
        <v>2019</v>
      </c>
      <c r="AC555" s="107"/>
      <c r="AD555" s="10"/>
      <c r="AE555" s="10"/>
    </row>
    <row r="556" spans="1:34" ht="31.5" x14ac:dyDescent="0.2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67" t="s">
        <v>135</v>
      </c>
      <c r="S556" s="151" t="s">
        <v>48</v>
      </c>
      <c r="T556" s="40">
        <f t="shared" ref="T556:Y556" si="146">T559+T562+T565+T570</f>
        <v>450</v>
      </c>
      <c r="U556" s="40">
        <f>U559+U562+U565+U570+U575</f>
        <v>450</v>
      </c>
      <c r="V556" s="40">
        <f t="shared" si="146"/>
        <v>0</v>
      </c>
      <c r="W556" s="40">
        <f t="shared" si="146"/>
        <v>0</v>
      </c>
      <c r="X556" s="40">
        <f t="shared" si="146"/>
        <v>0</v>
      </c>
      <c r="Y556" s="40">
        <f t="shared" si="146"/>
        <v>0</v>
      </c>
      <c r="Z556" s="40">
        <f t="shared" ref="Z556" si="147">Z559+Z562+Z565+Z570</f>
        <v>0</v>
      </c>
      <c r="AA556" s="43">
        <f>SUM(T556:Z556)</f>
        <v>900</v>
      </c>
      <c r="AB556" s="37">
        <v>2019</v>
      </c>
      <c r="AC556" s="31"/>
      <c r="AD556" s="10"/>
      <c r="AE556" s="10"/>
    </row>
    <row r="557" spans="1:34" ht="31.5" hidden="1" customHeight="1" x14ac:dyDescent="0.25">
      <c r="A557" s="48" t="s">
        <v>18</v>
      </c>
      <c r="B557" s="48" t="s">
        <v>18</v>
      </c>
      <c r="C557" s="48" t="s">
        <v>22</v>
      </c>
      <c r="D557" s="48" t="s">
        <v>18</v>
      </c>
      <c r="E557" s="48" t="s">
        <v>21</v>
      </c>
      <c r="F557" s="48" t="s">
        <v>18</v>
      </c>
      <c r="G557" s="48" t="s">
        <v>22</v>
      </c>
      <c r="H557" s="48" t="s">
        <v>18</v>
      </c>
      <c r="I557" s="48" t="s">
        <v>23</v>
      </c>
      <c r="J557" s="48" t="s">
        <v>18</v>
      </c>
      <c r="K557" s="48" t="s">
        <v>18</v>
      </c>
      <c r="L557" s="48" t="s">
        <v>20</v>
      </c>
      <c r="M557" s="48" t="s">
        <v>19</v>
      </c>
      <c r="N557" s="48" t="s">
        <v>18</v>
      </c>
      <c r="O557" s="48" t="s">
        <v>21</v>
      </c>
      <c r="P557" s="48" t="s">
        <v>21</v>
      </c>
      <c r="Q557" s="48" t="s">
        <v>18</v>
      </c>
      <c r="R557" s="162" t="s">
        <v>334</v>
      </c>
      <c r="S557" s="49" t="s">
        <v>0</v>
      </c>
      <c r="T557" s="1">
        <f t="shared" ref="T557:Z557" si="148">472.4-26.9</f>
        <v>445.5</v>
      </c>
      <c r="U557" s="1">
        <f t="shared" si="148"/>
        <v>445.5</v>
      </c>
      <c r="V557" s="1">
        <f t="shared" si="148"/>
        <v>445.5</v>
      </c>
      <c r="W557" s="1">
        <f t="shared" si="148"/>
        <v>445.5</v>
      </c>
      <c r="X557" s="1">
        <f t="shared" si="148"/>
        <v>445.5</v>
      </c>
      <c r="Y557" s="1">
        <f t="shared" si="148"/>
        <v>445.5</v>
      </c>
      <c r="Z557" s="1">
        <f t="shared" si="148"/>
        <v>445.5</v>
      </c>
      <c r="AA557" s="53">
        <f t="shared" ref="AA557:AA566" si="149">T557+U557+V557+W557+X557+Y557</f>
        <v>2673</v>
      </c>
      <c r="AB557" s="37">
        <v>2023</v>
      </c>
      <c r="AC557" s="31"/>
      <c r="AD557" s="10"/>
      <c r="AE557" s="10"/>
    </row>
    <row r="558" spans="1:34" ht="31.5" x14ac:dyDescent="0.25">
      <c r="A558" s="48" t="s">
        <v>18</v>
      </c>
      <c r="B558" s="48" t="s">
        <v>18</v>
      </c>
      <c r="C558" s="48" t="s">
        <v>22</v>
      </c>
      <c r="D558" s="48" t="s">
        <v>18</v>
      </c>
      <c r="E558" s="48" t="s">
        <v>24</v>
      </c>
      <c r="F558" s="48" t="s">
        <v>18</v>
      </c>
      <c r="G558" s="48" t="s">
        <v>21</v>
      </c>
      <c r="H558" s="48" t="s">
        <v>19</v>
      </c>
      <c r="I558" s="48" t="s">
        <v>24</v>
      </c>
      <c r="J558" s="48" t="s">
        <v>18</v>
      </c>
      <c r="K558" s="48" t="s">
        <v>18</v>
      </c>
      <c r="L558" s="48" t="s">
        <v>22</v>
      </c>
      <c r="M558" s="48" t="s">
        <v>19</v>
      </c>
      <c r="N558" s="48" t="s">
        <v>18</v>
      </c>
      <c r="O558" s="48" t="s">
        <v>21</v>
      </c>
      <c r="P558" s="48" t="s">
        <v>21</v>
      </c>
      <c r="Q558" s="48" t="s">
        <v>18</v>
      </c>
      <c r="R558" s="162"/>
      <c r="S558" s="49" t="s">
        <v>0</v>
      </c>
      <c r="T558" s="1">
        <f t="shared" ref="T558" si="150">445.5+45.8</f>
        <v>491.3</v>
      </c>
      <c r="U558" s="1">
        <f>445.5+45.8+47.5-415.7</f>
        <v>123.09999999999997</v>
      </c>
      <c r="V558" s="1">
        <f>445.5+45.8+53.6-544.9</f>
        <v>0</v>
      </c>
      <c r="W558" s="1">
        <f t="shared" ref="W558:X558" si="151">445.5+45.8+53.6-544.9</f>
        <v>0</v>
      </c>
      <c r="X558" s="1">
        <f t="shared" si="151"/>
        <v>0</v>
      </c>
      <c r="Y558" s="1">
        <v>0</v>
      </c>
      <c r="Z558" s="1">
        <v>0</v>
      </c>
      <c r="AA558" s="53">
        <f>SUM(T558:Z558)</f>
        <v>614.4</v>
      </c>
      <c r="AB558" s="52">
        <v>2019</v>
      </c>
      <c r="AC558" s="107"/>
    </row>
    <row r="559" spans="1:34" ht="32.2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69" t="s">
        <v>137</v>
      </c>
      <c r="S559" s="151" t="s">
        <v>48</v>
      </c>
      <c r="T559" s="2">
        <v>158</v>
      </c>
      <c r="U559" s="40">
        <v>37</v>
      </c>
      <c r="V559" s="2">
        <f>154-154</f>
        <v>0</v>
      </c>
      <c r="W559" s="2">
        <v>0</v>
      </c>
      <c r="X559" s="2">
        <v>0</v>
      </c>
      <c r="Y559" s="2">
        <v>0</v>
      </c>
      <c r="Z559" s="2">
        <v>0</v>
      </c>
      <c r="AA559" s="43">
        <f>SUM(T559:Z559)</f>
        <v>195</v>
      </c>
      <c r="AB559" s="37">
        <v>2019</v>
      </c>
      <c r="AC559" s="31"/>
    </row>
    <row r="560" spans="1:34" ht="36" hidden="1" customHeight="1" x14ac:dyDescent="0.25">
      <c r="A560" s="48" t="s">
        <v>18</v>
      </c>
      <c r="B560" s="48" t="s">
        <v>18</v>
      </c>
      <c r="C560" s="48" t="s">
        <v>24</v>
      </c>
      <c r="D560" s="48" t="s">
        <v>18</v>
      </c>
      <c r="E560" s="48" t="s">
        <v>21</v>
      </c>
      <c r="F560" s="48" t="s">
        <v>18</v>
      </c>
      <c r="G560" s="48" t="s">
        <v>22</v>
      </c>
      <c r="H560" s="48" t="s">
        <v>18</v>
      </c>
      <c r="I560" s="48" t="s">
        <v>23</v>
      </c>
      <c r="J560" s="48" t="s">
        <v>18</v>
      </c>
      <c r="K560" s="48" t="s">
        <v>18</v>
      </c>
      <c r="L560" s="48" t="s">
        <v>20</v>
      </c>
      <c r="M560" s="48" t="s">
        <v>19</v>
      </c>
      <c r="N560" s="48" t="s">
        <v>18</v>
      </c>
      <c r="O560" s="48" t="s">
        <v>21</v>
      </c>
      <c r="P560" s="48" t="s">
        <v>21</v>
      </c>
      <c r="Q560" s="48" t="s">
        <v>18</v>
      </c>
      <c r="R560" s="158" t="s">
        <v>136</v>
      </c>
      <c r="S560" s="49" t="s">
        <v>0</v>
      </c>
      <c r="T560" s="1">
        <f t="shared" ref="T560:Z560" si="152">302-17.3</f>
        <v>284.7</v>
      </c>
      <c r="U560" s="1">
        <f t="shared" si="152"/>
        <v>284.7</v>
      </c>
      <c r="V560" s="1">
        <f t="shared" si="152"/>
        <v>284.7</v>
      </c>
      <c r="W560" s="1">
        <f t="shared" si="152"/>
        <v>284.7</v>
      </c>
      <c r="X560" s="1">
        <f t="shared" si="152"/>
        <v>284.7</v>
      </c>
      <c r="Y560" s="1">
        <f t="shared" si="152"/>
        <v>284.7</v>
      </c>
      <c r="Z560" s="1">
        <f t="shared" si="152"/>
        <v>284.7</v>
      </c>
      <c r="AA560" s="53">
        <f t="shared" si="149"/>
        <v>1708.2</v>
      </c>
      <c r="AB560" s="37">
        <v>2023</v>
      </c>
      <c r="AC560" s="31"/>
    </row>
    <row r="561" spans="1:29" ht="31.5" x14ac:dyDescent="0.25">
      <c r="A561" s="48" t="s">
        <v>18</v>
      </c>
      <c r="B561" s="48" t="s">
        <v>18</v>
      </c>
      <c r="C561" s="48" t="s">
        <v>24</v>
      </c>
      <c r="D561" s="48" t="s">
        <v>18</v>
      </c>
      <c r="E561" s="48" t="s">
        <v>24</v>
      </c>
      <c r="F561" s="48" t="s">
        <v>18</v>
      </c>
      <c r="G561" s="48" t="s">
        <v>21</v>
      </c>
      <c r="H561" s="48" t="s">
        <v>19</v>
      </c>
      <c r="I561" s="48" t="s">
        <v>24</v>
      </c>
      <c r="J561" s="48" t="s">
        <v>18</v>
      </c>
      <c r="K561" s="48" t="s">
        <v>18</v>
      </c>
      <c r="L561" s="48" t="s">
        <v>22</v>
      </c>
      <c r="M561" s="48" t="s">
        <v>19</v>
      </c>
      <c r="N561" s="48" t="s">
        <v>18</v>
      </c>
      <c r="O561" s="48" t="s">
        <v>21</v>
      </c>
      <c r="P561" s="48" t="s">
        <v>21</v>
      </c>
      <c r="Q561" s="48" t="s">
        <v>18</v>
      </c>
      <c r="R561" s="158"/>
      <c r="S561" s="49" t="s">
        <v>0</v>
      </c>
      <c r="T561" s="1">
        <f t="shared" ref="T561" si="153">284.7-29.7</f>
        <v>255</v>
      </c>
      <c r="U561" s="1">
        <f>284.7-29.7+24.6-218.9</f>
        <v>60.700000000000017</v>
      </c>
      <c r="V561" s="1">
        <f>284.7-29.7+27.8-282.8</f>
        <v>0</v>
      </c>
      <c r="W561" s="1">
        <v>0</v>
      </c>
      <c r="X561" s="1">
        <v>0</v>
      </c>
      <c r="Y561" s="1">
        <v>0</v>
      </c>
      <c r="Z561" s="1">
        <v>0</v>
      </c>
      <c r="AA561" s="53">
        <f>SUM(T561:Z561)</f>
        <v>315.70000000000005</v>
      </c>
      <c r="AB561" s="52">
        <v>2019</v>
      </c>
      <c r="AC561" s="107"/>
    </row>
    <row r="562" spans="1:29" ht="31.5" x14ac:dyDescent="0.2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69" t="s">
        <v>138</v>
      </c>
      <c r="S562" s="151" t="s">
        <v>48</v>
      </c>
      <c r="T562" s="2">
        <v>82</v>
      </c>
      <c r="U562" s="40">
        <v>20</v>
      </c>
      <c r="V562" s="2">
        <f>82-82</f>
        <v>0</v>
      </c>
      <c r="W562" s="2">
        <v>0</v>
      </c>
      <c r="X562" s="2">
        <v>0</v>
      </c>
      <c r="Y562" s="2">
        <v>0</v>
      </c>
      <c r="Z562" s="2">
        <v>0</v>
      </c>
      <c r="AA562" s="43">
        <f>SUM(T562:Z562)</f>
        <v>102</v>
      </c>
      <c r="AB562" s="37">
        <v>2019</v>
      </c>
      <c r="AC562" s="31"/>
    </row>
    <row r="563" spans="1:29" ht="5.25" hidden="1" customHeight="1" x14ac:dyDescent="0.25">
      <c r="A563" s="48" t="s">
        <v>18</v>
      </c>
      <c r="B563" s="48" t="s">
        <v>18</v>
      </c>
      <c r="C563" s="48" t="s">
        <v>21</v>
      </c>
      <c r="D563" s="48" t="s">
        <v>18</v>
      </c>
      <c r="E563" s="48" t="s">
        <v>21</v>
      </c>
      <c r="F563" s="48" t="s">
        <v>18</v>
      </c>
      <c r="G563" s="48" t="s">
        <v>22</v>
      </c>
      <c r="H563" s="48" t="s">
        <v>18</v>
      </c>
      <c r="I563" s="48" t="s">
        <v>23</v>
      </c>
      <c r="J563" s="48" t="s">
        <v>18</v>
      </c>
      <c r="K563" s="48" t="s">
        <v>18</v>
      </c>
      <c r="L563" s="48" t="s">
        <v>20</v>
      </c>
      <c r="M563" s="48" t="s">
        <v>19</v>
      </c>
      <c r="N563" s="48" t="s">
        <v>18</v>
      </c>
      <c r="O563" s="48" t="s">
        <v>21</v>
      </c>
      <c r="P563" s="48" t="s">
        <v>21</v>
      </c>
      <c r="Q563" s="48" t="s">
        <v>18</v>
      </c>
      <c r="R563" s="158" t="s">
        <v>136</v>
      </c>
      <c r="S563" s="49" t="s">
        <v>0</v>
      </c>
      <c r="T563" s="1">
        <f t="shared" ref="T563:Z563" si="154">398.8-22.7</f>
        <v>376.1</v>
      </c>
      <c r="U563" s="1">
        <f t="shared" si="154"/>
        <v>376.1</v>
      </c>
      <c r="V563" s="1">
        <f t="shared" si="154"/>
        <v>376.1</v>
      </c>
      <c r="W563" s="1">
        <f t="shared" si="154"/>
        <v>376.1</v>
      </c>
      <c r="X563" s="1">
        <f t="shared" si="154"/>
        <v>376.1</v>
      </c>
      <c r="Y563" s="1">
        <f t="shared" si="154"/>
        <v>376.1</v>
      </c>
      <c r="Z563" s="1">
        <f t="shared" si="154"/>
        <v>376.1</v>
      </c>
      <c r="AA563" s="53">
        <f t="shared" si="149"/>
        <v>2256.6</v>
      </c>
      <c r="AB563" s="37">
        <v>2023</v>
      </c>
      <c r="AC563" s="31"/>
    </row>
    <row r="564" spans="1:29" ht="31.5" x14ac:dyDescent="0.25">
      <c r="A564" s="48" t="s">
        <v>18</v>
      </c>
      <c r="B564" s="48" t="s">
        <v>18</v>
      </c>
      <c r="C564" s="48" t="s">
        <v>21</v>
      </c>
      <c r="D564" s="48" t="s">
        <v>18</v>
      </c>
      <c r="E564" s="48" t="s">
        <v>24</v>
      </c>
      <c r="F564" s="48" t="s">
        <v>18</v>
      </c>
      <c r="G564" s="48" t="s">
        <v>21</v>
      </c>
      <c r="H564" s="48" t="s">
        <v>19</v>
      </c>
      <c r="I564" s="48" t="s">
        <v>24</v>
      </c>
      <c r="J564" s="48" t="s">
        <v>18</v>
      </c>
      <c r="K564" s="48" t="s">
        <v>18</v>
      </c>
      <c r="L564" s="48" t="s">
        <v>22</v>
      </c>
      <c r="M564" s="48" t="s">
        <v>19</v>
      </c>
      <c r="N564" s="48" t="s">
        <v>18</v>
      </c>
      <c r="O564" s="48" t="s">
        <v>21</v>
      </c>
      <c r="P564" s="48" t="s">
        <v>21</v>
      </c>
      <c r="Q564" s="48" t="s">
        <v>18</v>
      </c>
      <c r="R564" s="158"/>
      <c r="S564" s="49" t="s">
        <v>0</v>
      </c>
      <c r="T564" s="1">
        <f t="shared" ref="T564" si="155">376.1+59.3</f>
        <v>435.40000000000003</v>
      </c>
      <c r="U564" s="1">
        <f>376.1+59.3+42-370.4</f>
        <v>107.00000000000006</v>
      </c>
      <c r="V564" s="1">
        <f>376.1+59.3+47.5-482.9</f>
        <v>0</v>
      </c>
      <c r="W564" s="1">
        <v>0</v>
      </c>
      <c r="X564" s="1">
        <v>0</v>
      </c>
      <c r="Y564" s="1">
        <v>0</v>
      </c>
      <c r="Z564" s="1">
        <v>0</v>
      </c>
      <c r="AA564" s="53">
        <f>SUM(T564:Z564)</f>
        <v>542.40000000000009</v>
      </c>
      <c r="AB564" s="52">
        <v>2019</v>
      </c>
      <c r="AC564" s="31"/>
    </row>
    <row r="565" spans="1:29" ht="31.5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69" t="s">
        <v>139</v>
      </c>
      <c r="S565" s="151" t="s">
        <v>48</v>
      </c>
      <c r="T565" s="2">
        <v>140</v>
      </c>
      <c r="U565" s="40">
        <v>31</v>
      </c>
      <c r="V565" s="2">
        <f>141-141</f>
        <v>0</v>
      </c>
      <c r="W565" s="2">
        <v>0</v>
      </c>
      <c r="X565" s="2">
        <v>0</v>
      </c>
      <c r="Y565" s="2">
        <v>0</v>
      </c>
      <c r="Z565" s="2">
        <v>0</v>
      </c>
      <c r="AA565" s="43">
        <f>SUM(T565:Z565)</f>
        <v>171</v>
      </c>
      <c r="AB565" s="37">
        <v>2019</v>
      </c>
      <c r="AC565" s="31"/>
    </row>
    <row r="566" spans="1:29" ht="35.25" hidden="1" customHeight="1" x14ac:dyDescent="0.25">
      <c r="A566" s="48" t="s">
        <v>18</v>
      </c>
      <c r="B566" s="48" t="s">
        <v>18</v>
      </c>
      <c r="C566" s="48" t="s">
        <v>25</v>
      </c>
      <c r="D566" s="48" t="s">
        <v>18</v>
      </c>
      <c r="E566" s="48" t="s">
        <v>21</v>
      </c>
      <c r="F566" s="48" t="s">
        <v>18</v>
      </c>
      <c r="G566" s="48" t="s">
        <v>22</v>
      </c>
      <c r="H566" s="48" t="s">
        <v>18</v>
      </c>
      <c r="I566" s="48" t="s">
        <v>23</v>
      </c>
      <c r="J566" s="48" t="s">
        <v>18</v>
      </c>
      <c r="K566" s="48" t="s">
        <v>18</v>
      </c>
      <c r="L566" s="48" t="s">
        <v>20</v>
      </c>
      <c r="M566" s="48" t="s">
        <v>19</v>
      </c>
      <c r="N566" s="48" t="s">
        <v>18</v>
      </c>
      <c r="O566" s="48" t="s">
        <v>21</v>
      </c>
      <c r="P566" s="48" t="s">
        <v>21</v>
      </c>
      <c r="Q566" s="48" t="s">
        <v>18</v>
      </c>
      <c r="R566" s="158" t="s">
        <v>136</v>
      </c>
      <c r="S566" s="49" t="s">
        <v>0</v>
      </c>
      <c r="T566" s="1">
        <f t="shared" ref="T566:Z566" si="156">214.1-12.2</f>
        <v>201.9</v>
      </c>
      <c r="U566" s="1">
        <f t="shared" si="156"/>
        <v>201.9</v>
      </c>
      <c r="V566" s="1">
        <f t="shared" si="156"/>
        <v>201.9</v>
      </c>
      <c r="W566" s="1">
        <f t="shared" si="156"/>
        <v>201.9</v>
      </c>
      <c r="X566" s="1">
        <f t="shared" si="156"/>
        <v>201.9</v>
      </c>
      <c r="Y566" s="1">
        <f t="shared" si="156"/>
        <v>201.9</v>
      </c>
      <c r="Z566" s="1">
        <f t="shared" si="156"/>
        <v>201.9</v>
      </c>
      <c r="AA566" s="53">
        <f t="shared" si="149"/>
        <v>1211.4000000000001</v>
      </c>
      <c r="AB566" s="37">
        <v>2023</v>
      </c>
    </row>
    <row r="567" spans="1:29" ht="31.5" x14ac:dyDescent="0.25">
      <c r="A567" s="48" t="s">
        <v>18</v>
      </c>
      <c r="B567" s="48" t="s">
        <v>18</v>
      </c>
      <c r="C567" s="48" t="s">
        <v>25</v>
      </c>
      <c r="D567" s="48" t="s">
        <v>18</v>
      </c>
      <c r="E567" s="48" t="s">
        <v>24</v>
      </c>
      <c r="F567" s="48" t="s">
        <v>18</v>
      </c>
      <c r="G567" s="48" t="s">
        <v>21</v>
      </c>
      <c r="H567" s="48" t="s">
        <v>19</v>
      </c>
      <c r="I567" s="48" t="s">
        <v>24</v>
      </c>
      <c r="J567" s="48" t="s">
        <v>18</v>
      </c>
      <c r="K567" s="48" t="s">
        <v>18</v>
      </c>
      <c r="L567" s="48" t="s">
        <v>22</v>
      </c>
      <c r="M567" s="48" t="s">
        <v>19</v>
      </c>
      <c r="N567" s="48" t="s">
        <v>18</v>
      </c>
      <c r="O567" s="48" t="s">
        <v>21</v>
      </c>
      <c r="P567" s="48" t="s">
        <v>21</v>
      </c>
      <c r="Q567" s="48" t="s">
        <v>18</v>
      </c>
      <c r="R567" s="158"/>
      <c r="S567" s="49" t="s">
        <v>0</v>
      </c>
      <c r="T567" s="1">
        <f>201.9+15.8</f>
        <v>217.70000000000002</v>
      </c>
      <c r="U567" s="1">
        <f>201.9+15.8+1.7+19.3-186.2</f>
        <v>52.500000000000028</v>
      </c>
      <c r="V567" s="1">
        <f>201.9+15.8+1.7+22.1-241.5</f>
        <v>0</v>
      </c>
      <c r="W567" s="1">
        <v>0</v>
      </c>
      <c r="X567" s="1">
        <v>0</v>
      </c>
      <c r="Y567" s="1">
        <v>0</v>
      </c>
      <c r="Z567" s="1">
        <v>0</v>
      </c>
      <c r="AA567" s="53">
        <f>SUM(T567:Z567)</f>
        <v>270.20000000000005</v>
      </c>
      <c r="AB567" s="52">
        <v>2019</v>
      </c>
      <c r="AC567" s="31"/>
    </row>
    <row r="568" spans="1:29" ht="49.5" hidden="1" customHeight="1" x14ac:dyDescent="0.2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67" t="s">
        <v>140</v>
      </c>
      <c r="S568" s="37" t="s">
        <v>8</v>
      </c>
      <c r="T568" s="2">
        <v>56</v>
      </c>
      <c r="U568" s="2">
        <v>56</v>
      </c>
      <c r="V568" s="2">
        <v>56</v>
      </c>
      <c r="W568" s="2">
        <v>56</v>
      </c>
      <c r="X568" s="2">
        <v>56</v>
      </c>
      <c r="Y568" s="2">
        <v>56</v>
      </c>
      <c r="Z568" s="2">
        <v>56</v>
      </c>
      <c r="AA568" s="43">
        <f>T568+U568+V568+W568+X568+Y568+Z568</f>
        <v>392</v>
      </c>
      <c r="AB568" s="37">
        <v>2024</v>
      </c>
    </row>
    <row r="569" spans="1:29" ht="64.5" hidden="1" customHeight="1" x14ac:dyDescent="0.25">
      <c r="A569" s="48" t="s">
        <v>18</v>
      </c>
      <c r="B569" s="48" t="s">
        <v>19</v>
      </c>
      <c r="C569" s="48" t="s">
        <v>24</v>
      </c>
      <c r="D569" s="48" t="s">
        <v>18</v>
      </c>
      <c r="E569" s="48" t="s">
        <v>21</v>
      </c>
      <c r="F569" s="48" t="s">
        <v>18</v>
      </c>
      <c r="G569" s="48" t="s">
        <v>22</v>
      </c>
      <c r="H569" s="48" t="s">
        <v>18</v>
      </c>
      <c r="I569" s="48" t="s">
        <v>23</v>
      </c>
      <c r="J569" s="48" t="s">
        <v>18</v>
      </c>
      <c r="K569" s="48" t="s">
        <v>18</v>
      </c>
      <c r="L569" s="48" t="s">
        <v>22</v>
      </c>
      <c r="M569" s="48" t="s">
        <v>18</v>
      </c>
      <c r="N569" s="48" t="s">
        <v>22</v>
      </c>
      <c r="O569" s="48" t="s">
        <v>22</v>
      </c>
      <c r="P569" s="48" t="s">
        <v>18</v>
      </c>
      <c r="Q569" s="48" t="s">
        <v>22</v>
      </c>
      <c r="R569" s="66" t="s">
        <v>141</v>
      </c>
      <c r="S569" s="49" t="s">
        <v>0</v>
      </c>
      <c r="T569" s="1"/>
      <c r="U569" s="1"/>
      <c r="V569" s="1"/>
      <c r="W569" s="1"/>
      <c r="X569" s="1"/>
      <c r="Y569" s="1"/>
      <c r="Z569" s="1"/>
      <c r="AA569" s="53">
        <f>T569+U569+V569+W569+X569+Y569</f>
        <v>0</v>
      </c>
      <c r="AB569" s="151">
        <v>2020</v>
      </c>
    </row>
    <row r="570" spans="1:29" ht="31.5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69" t="s">
        <v>140</v>
      </c>
      <c r="S570" s="151" t="s">
        <v>48</v>
      </c>
      <c r="T570" s="40">
        <v>70</v>
      </c>
      <c r="U570" s="40">
        <v>15</v>
      </c>
      <c r="V570" s="40">
        <f>68-68</f>
        <v>0</v>
      </c>
      <c r="W570" s="40">
        <v>0</v>
      </c>
      <c r="X570" s="40">
        <v>0</v>
      </c>
      <c r="Y570" s="40">
        <v>0</v>
      </c>
      <c r="Z570" s="40">
        <v>0</v>
      </c>
      <c r="AA570" s="41">
        <f t="shared" ref="AA570:AA575" si="157">SUM(T570:Z570)</f>
        <v>85</v>
      </c>
      <c r="AB570" s="37">
        <v>2019</v>
      </c>
      <c r="AC570" s="31"/>
    </row>
    <row r="571" spans="1:29" s="118" customFormat="1" ht="31.5" hidden="1" x14ac:dyDescent="0.25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157" t="s">
        <v>297</v>
      </c>
      <c r="S571" s="49" t="s">
        <v>0</v>
      </c>
      <c r="T571" s="1">
        <v>0</v>
      </c>
      <c r="U571" s="1">
        <f>U572+U573</f>
        <v>459.4</v>
      </c>
      <c r="V571" s="1">
        <v>0</v>
      </c>
      <c r="W571" s="1">
        <v>0</v>
      </c>
      <c r="X571" s="1">
        <v>0</v>
      </c>
      <c r="Y571" s="1">
        <v>0</v>
      </c>
      <c r="Z571" s="1">
        <v>0</v>
      </c>
      <c r="AA571" s="53">
        <f t="shared" si="157"/>
        <v>459.4</v>
      </c>
      <c r="AB571" s="49">
        <v>2019</v>
      </c>
      <c r="AC571" s="117"/>
    </row>
    <row r="572" spans="1:29" s="118" customFormat="1" ht="31.5" x14ac:dyDescent="0.25">
      <c r="A572" s="48" t="s">
        <v>18</v>
      </c>
      <c r="B572" s="48" t="s">
        <v>19</v>
      </c>
      <c r="C572" s="48" t="s">
        <v>20</v>
      </c>
      <c r="D572" s="48" t="s">
        <v>18</v>
      </c>
      <c r="E572" s="48" t="s">
        <v>24</v>
      </c>
      <c r="F572" s="48" t="s">
        <v>18</v>
      </c>
      <c r="G572" s="48" t="s">
        <v>21</v>
      </c>
      <c r="H572" s="48" t="s">
        <v>19</v>
      </c>
      <c r="I572" s="48" t="s">
        <v>24</v>
      </c>
      <c r="J572" s="48" t="s">
        <v>18</v>
      </c>
      <c r="K572" s="48" t="s">
        <v>18</v>
      </c>
      <c r="L572" s="48" t="s">
        <v>22</v>
      </c>
      <c r="M572" s="48" t="s">
        <v>19</v>
      </c>
      <c r="N572" s="48" t="s">
        <v>18</v>
      </c>
      <c r="O572" s="48" t="s">
        <v>21</v>
      </c>
      <c r="P572" s="48" t="s">
        <v>21</v>
      </c>
      <c r="Q572" s="48" t="s">
        <v>18</v>
      </c>
      <c r="R572" s="157"/>
      <c r="S572" s="49" t="s">
        <v>0</v>
      </c>
      <c r="T572" s="1">
        <v>0</v>
      </c>
      <c r="U572" s="1">
        <v>459.4</v>
      </c>
      <c r="V572" s="1">
        <v>0</v>
      </c>
      <c r="W572" s="1">
        <v>0</v>
      </c>
      <c r="X572" s="1">
        <v>0</v>
      </c>
      <c r="Y572" s="1">
        <v>0</v>
      </c>
      <c r="Z572" s="1">
        <v>0</v>
      </c>
      <c r="AA572" s="53">
        <f t="shared" si="157"/>
        <v>459.4</v>
      </c>
      <c r="AB572" s="49">
        <v>2019</v>
      </c>
      <c r="AC572" s="117"/>
    </row>
    <row r="573" spans="1:29" s="118" customFormat="1" ht="31.5" hidden="1" x14ac:dyDescent="0.25">
      <c r="A573" s="48" t="s">
        <v>18</v>
      </c>
      <c r="B573" s="48" t="s">
        <v>19</v>
      </c>
      <c r="C573" s="48" t="s">
        <v>20</v>
      </c>
      <c r="D573" s="48" t="s">
        <v>18</v>
      </c>
      <c r="E573" s="48" t="s">
        <v>24</v>
      </c>
      <c r="F573" s="48" t="s">
        <v>18</v>
      </c>
      <c r="G573" s="48" t="s">
        <v>21</v>
      </c>
      <c r="H573" s="48" t="s">
        <v>19</v>
      </c>
      <c r="I573" s="48" t="s">
        <v>24</v>
      </c>
      <c r="J573" s="48" t="s">
        <v>18</v>
      </c>
      <c r="K573" s="48" t="s">
        <v>18</v>
      </c>
      <c r="L573" s="48" t="s">
        <v>22</v>
      </c>
      <c r="M573" s="48" t="s">
        <v>18</v>
      </c>
      <c r="N573" s="48" t="s">
        <v>18</v>
      </c>
      <c r="O573" s="48" t="s">
        <v>18</v>
      </c>
      <c r="P573" s="48" t="s">
        <v>18</v>
      </c>
      <c r="Q573" s="48" t="s">
        <v>18</v>
      </c>
      <c r="R573" s="157"/>
      <c r="S573" s="49" t="s">
        <v>0</v>
      </c>
      <c r="T573" s="1">
        <v>0</v>
      </c>
      <c r="U573" s="1">
        <v>0</v>
      </c>
      <c r="V573" s="1">
        <v>0</v>
      </c>
      <c r="W573" s="1">
        <v>0</v>
      </c>
      <c r="X573" s="1">
        <v>0</v>
      </c>
      <c r="Y573" s="1">
        <v>0</v>
      </c>
      <c r="Z573" s="1">
        <v>0</v>
      </c>
      <c r="AA573" s="53">
        <f t="shared" si="157"/>
        <v>0</v>
      </c>
      <c r="AB573" s="49">
        <v>2019</v>
      </c>
      <c r="AC573" s="117"/>
    </row>
    <row r="574" spans="1:29" s="62" customFormat="1" ht="47.25" x14ac:dyDescent="0.2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 t="s">
        <v>281</v>
      </c>
      <c r="N574" s="36"/>
      <c r="O574" s="36"/>
      <c r="P574" s="36"/>
      <c r="Q574" s="36"/>
      <c r="R574" s="67" t="s">
        <v>280</v>
      </c>
      <c r="S574" s="37" t="s">
        <v>248</v>
      </c>
      <c r="T574" s="40">
        <v>0</v>
      </c>
      <c r="U574" s="40">
        <v>175</v>
      </c>
      <c r="V574" s="40">
        <v>0</v>
      </c>
      <c r="W574" s="40">
        <v>0</v>
      </c>
      <c r="X574" s="40">
        <v>0</v>
      </c>
      <c r="Y574" s="40">
        <v>0</v>
      </c>
      <c r="Z574" s="40">
        <v>0</v>
      </c>
      <c r="AA574" s="43">
        <f t="shared" si="157"/>
        <v>175</v>
      </c>
      <c r="AB574" s="37">
        <v>2019</v>
      </c>
      <c r="AC574" s="98"/>
    </row>
    <row r="575" spans="1:29" s="62" customFormat="1" ht="31.5" x14ac:dyDescent="0.2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67" t="s">
        <v>263</v>
      </c>
      <c r="S575" s="37" t="s">
        <v>48</v>
      </c>
      <c r="T575" s="40">
        <v>0</v>
      </c>
      <c r="U575" s="40">
        <v>347</v>
      </c>
      <c r="V575" s="40">
        <v>0</v>
      </c>
      <c r="W575" s="40">
        <v>0</v>
      </c>
      <c r="X575" s="40">
        <v>0</v>
      </c>
      <c r="Y575" s="40">
        <v>0</v>
      </c>
      <c r="Z575" s="40">
        <v>0</v>
      </c>
      <c r="AA575" s="43">
        <f t="shared" si="157"/>
        <v>347</v>
      </c>
      <c r="AB575" s="37">
        <v>2019</v>
      </c>
      <c r="AC575" s="98"/>
    </row>
    <row r="576" spans="1:29" ht="47.25" x14ac:dyDescent="0.25">
      <c r="A576" s="48"/>
      <c r="B576" s="48"/>
      <c r="C576" s="48"/>
      <c r="D576" s="48" t="s">
        <v>18</v>
      </c>
      <c r="E576" s="48" t="s">
        <v>21</v>
      </c>
      <c r="F576" s="48" t="s">
        <v>18</v>
      </c>
      <c r="G576" s="48" t="s">
        <v>22</v>
      </c>
      <c r="H576" s="48" t="s">
        <v>19</v>
      </c>
      <c r="I576" s="48" t="s">
        <v>24</v>
      </c>
      <c r="J576" s="48" t="s">
        <v>18</v>
      </c>
      <c r="K576" s="48" t="s">
        <v>18</v>
      </c>
      <c r="L576" s="48" t="s">
        <v>22</v>
      </c>
      <c r="M576" s="48" t="s">
        <v>42</v>
      </c>
      <c r="N576" s="48" t="s">
        <v>42</v>
      </c>
      <c r="O576" s="48" t="s">
        <v>42</v>
      </c>
      <c r="P576" s="48" t="s">
        <v>42</v>
      </c>
      <c r="Q576" s="48" t="s">
        <v>42</v>
      </c>
      <c r="R576" s="66" t="s">
        <v>142</v>
      </c>
      <c r="S576" s="52" t="s">
        <v>0</v>
      </c>
      <c r="T576" s="53">
        <f t="shared" ref="T576:Y577" si="158">T578+T580+T582+T584</f>
        <v>69.999999999999986</v>
      </c>
      <c r="U576" s="53">
        <f t="shared" si="158"/>
        <v>25.8</v>
      </c>
      <c r="V576" s="53">
        <f t="shared" si="158"/>
        <v>57.699999999999996</v>
      </c>
      <c r="W576" s="53">
        <f t="shared" si="158"/>
        <v>0</v>
      </c>
      <c r="X576" s="53">
        <f t="shared" si="158"/>
        <v>0</v>
      </c>
      <c r="Y576" s="53">
        <f t="shared" si="158"/>
        <v>0</v>
      </c>
      <c r="Z576" s="53">
        <f t="shared" ref="Z576" si="159">Z578+Z580+Z582+Z584</f>
        <v>0</v>
      </c>
      <c r="AA576" s="53">
        <f>AA578+AA580+AA582+AA584</f>
        <v>153.5</v>
      </c>
      <c r="AB576" s="52">
        <v>2020</v>
      </c>
      <c r="AC576" s="107"/>
    </row>
    <row r="577" spans="1:30" ht="45.75" customHeigh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69" t="s">
        <v>143</v>
      </c>
      <c r="S577" s="151" t="s">
        <v>37</v>
      </c>
      <c r="T577" s="40">
        <f t="shared" si="158"/>
        <v>27</v>
      </c>
      <c r="U577" s="40">
        <f t="shared" si="158"/>
        <v>4</v>
      </c>
      <c r="V577" s="40">
        <f t="shared" si="158"/>
        <v>16</v>
      </c>
      <c r="W577" s="40">
        <f t="shared" si="158"/>
        <v>0</v>
      </c>
      <c r="X577" s="40">
        <f t="shared" si="158"/>
        <v>0</v>
      </c>
      <c r="Y577" s="40">
        <f t="shared" si="158"/>
        <v>0</v>
      </c>
      <c r="Z577" s="40">
        <f>Z579+Z581+Z583+Z585</f>
        <v>0</v>
      </c>
      <c r="AA577" s="43">
        <f>T577+U577+V577+W577+X577+Y577+Z577</f>
        <v>47</v>
      </c>
      <c r="AB577" s="37">
        <v>2020</v>
      </c>
      <c r="AC577" s="31"/>
    </row>
    <row r="578" spans="1:30" ht="47.25" x14ac:dyDescent="0.25">
      <c r="A578" s="48" t="s">
        <v>18</v>
      </c>
      <c r="B578" s="48" t="s">
        <v>18</v>
      </c>
      <c r="C578" s="48" t="s">
        <v>22</v>
      </c>
      <c r="D578" s="48" t="s">
        <v>18</v>
      </c>
      <c r="E578" s="48" t="s">
        <v>21</v>
      </c>
      <c r="F578" s="48" t="s">
        <v>18</v>
      </c>
      <c r="G578" s="48" t="s">
        <v>22</v>
      </c>
      <c r="H578" s="48" t="s">
        <v>19</v>
      </c>
      <c r="I578" s="48" t="s">
        <v>24</v>
      </c>
      <c r="J578" s="48" t="s">
        <v>18</v>
      </c>
      <c r="K578" s="48" t="s">
        <v>18</v>
      </c>
      <c r="L578" s="48" t="s">
        <v>22</v>
      </c>
      <c r="M578" s="48" t="s">
        <v>42</v>
      </c>
      <c r="N578" s="48" t="s">
        <v>42</v>
      </c>
      <c r="O578" s="48" t="s">
        <v>42</v>
      </c>
      <c r="P578" s="48" t="s">
        <v>42</v>
      </c>
      <c r="Q578" s="48" t="s">
        <v>42</v>
      </c>
      <c r="R578" s="66" t="s">
        <v>144</v>
      </c>
      <c r="S578" s="49" t="s">
        <v>0</v>
      </c>
      <c r="T578" s="1">
        <f>18.2-1.8-10.9</f>
        <v>5.4999999999999982</v>
      </c>
      <c r="U578" s="1">
        <v>18.2</v>
      </c>
      <c r="V578" s="1">
        <v>0</v>
      </c>
      <c r="W578" s="1">
        <v>0</v>
      </c>
      <c r="X578" s="1">
        <v>0</v>
      </c>
      <c r="Y578" s="1">
        <v>0</v>
      </c>
      <c r="Z578" s="1">
        <v>0</v>
      </c>
      <c r="AA578" s="53">
        <f t="shared" ref="AA578:AA585" si="160">T578+U578+V578+W578+X578+Y578+Z578</f>
        <v>23.699999999999996</v>
      </c>
      <c r="AB578" s="52">
        <v>2019</v>
      </c>
      <c r="AC578" s="107"/>
    </row>
    <row r="579" spans="1:30" ht="47.25" customHeight="1" x14ac:dyDescent="0.2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69" t="s">
        <v>145</v>
      </c>
      <c r="S579" s="151" t="s">
        <v>37</v>
      </c>
      <c r="T579" s="71">
        <v>2</v>
      </c>
      <c r="U579" s="71">
        <v>2</v>
      </c>
      <c r="V579" s="71">
        <v>0</v>
      </c>
      <c r="W579" s="71">
        <v>0</v>
      </c>
      <c r="X579" s="71">
        <v>0</v>
      </c>
      <c r="Y579" s="71">
        <v>0</v>
      </c>
      <c r="Z579" s="71">
        <v>0</v>
      </c>
      <c r="AA579" s="85">
        <f t="shared" si="160"/>
        <v>4</v>
      </c>
      <c r="AB579" s="37">
        <v>2019</v>
      </c>
      <c r="AC579" s="31"/>
    </row>
    <row r="580" spans="1:30" ht="47.25" x14ac:dyDescent="0.25">
      <c r="A580" s="48" t="s">
        <v>18</v>
      </c>
      <c r="B580" s="48" t="s">
        <v>18</v>
      </c>
      <c r="C580" s="48" t="s">
        <v>24</v>
      </c>
      <c r="D580" s="48" t="s">
        <v>18</v>
      </c>
      <c r="E580" s="48" t="s">
        <v>21</v>
      </c>
      <c r="F580" s="48" t="s">
        <v>18</v>
      </c>
      <c r="G580" s="48" t="s">
        <v>22</v>
      </c>
      <c r="H580" s="48" t="s">
        <v>19</v>
      </c>
      <c r="I580" s="48" t="s">
        <v>24</v>
      </c>
      <c r="J580" s="48" t="s">
        <v>18</v>
      </c>
      <c r="K580" s="48" t="s">
        <v>18</v>
      </c>
      <c r="L580" s="48" t="s">
        <v>22</v>
      </c>
      <c r="M580" s="48" t="s">
        <v>42</v>
      </c>
      <c r="N580" s="48" t="s">
        <v>42</v>
      </c>
      <c r="O580" s="48" t="s">
        <v>42</v>
      </c>
      <c r="P580" s="48" t="s">
        <v>42</v>
      </c>
      <c r="Q580" s="48" t="s">
        <v>42</v>
      </c>
      <c r="R580" s="66" t="s">
        <v>144</v>
      </c>
      <c r="S580" s="49" t="s">
        <v>0</v>
      </c>
      <c r="T580" s="1">
        <f>72.8-43.1</f>
        <v>29.699999999999996</v>
      </c>
      <c r="U580" s="1">
        <f>31.8-31.8</f>
        <v>0</v>
      </c>
      <c r="V580" s="1">
        <v>31.8</v>
      </c>
      <c r="W580" s="1">
        <v>0</v>
      </c>
      <c r="X580" s="1">
        <v>0</v>
      </c>
      <c r="Y580" s="1">
        <v>0</v>
      </c>
      <c r="Z580" s="1">
        <v>0</v>
      </c>
      <c r="AA580" s="53">
        <f t="shared" si="160"/>
        <v>61.5</v>
      </c>
      <c r="AB580" s="52">
        <v>2020</v>
      </c>
      <c r="AC580" s="107"/>
    </row>
    <row r="581" spans="1:30" ht="47.25" customHeight="1" x14ac:dyDescent="0.2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69" t="s">
        <v>146</v>
      </c>
      <c r="S581" s="151" t="s">
        <v>37</v>
      </c>
      <c r="T581" s="71">
        <v>10</v>
      </c>
      <c r="U581" s="71">
        <v>0</v>
      </c>
      <c r="V581" s="71">
        <v>10</v>
      </c>
      <c r="W581" s="71">
        <v>0</v>
      </c>
      <c r="X581" s="71">
        <v>0</v>
      </c>
      <c r="Y581" s="71">
        <v>0</v>
      </c>
      <c r="Z581" s="71">
        <v>0</v>
      </c>
      <c r="AA581" s="85">
        <f t="shared" si="160"/>
        <v>20</v>
      </c>
      <c r="AB581" s="37">
        <v>2020</v>
      </c>
      <c r="AC581" s="31"/>
    </row>
    <row r="582" spans="1:30" ht="47.25" x14ac:dyDescent="0.25">
      <c r="A582" s="48" t="s">
        <v>18</v>
      </c>
      <c r="B582" s="48" t="s">
        <v>18</v>
      </c>
      <c r="C582" s="48" t="s">
        <v>21</v>
      </c>
      <c r="D582" s="48" t="s">
        <v>18</v>
      </c>
      <c r="E582" s="48" t="s">
        <v>21</v>
      </c>
      <c r="F582" s="48" t="s">
        <v>18</v>
      </c>
      <c r="G582" s="48" t="s">
        <v>22</v>
      </c>
      <c r="H582" s="48" t="s">
        <v>19</v>
      </c>
      <c r="I582" s="48" t="s">
        <v>24</v>
      </c>
      <c r="J582" s="48" t="s">
        <v>18</v>
      </c>
      <c r="K582" s="48" t="s">
        <v>18</v>
      </c>
      <c r="L582" s="48" t="s">
        <v>22</v>
      </c>
      <c r="M582" s="48" t="s">
        <v>42</v>
      </c>
      <c r="N582" s="48" t="s">
        <v>42</v>
      </c>
      <c r="O582" s="48" t="s">
        <v>42</v>
      </c>
      <c r="P582" s="48" t="s">
        <v>42</v>
      </c>
      <c r="Q582" s="48" t="s">
        <v>42</v>
      </c>
      <c r="R582" s="66" t="s">
        <v>147</v>
      </c>
      <c r="S582" s="49" t="s">
        <v>0</v>
      </c>
      <c r="T582" s="56">
        <f>36.4-4.4</f>
        <v>32</v>
      </c>
      <c r="U582" s="56">
        <f>34.6-34.6</f>
        <v>0</v>
      </c>
      <c r="V582" s="56">
        <f>31.8-22.8</f>
        <v>9</v>
      </c>
      <c r="W582" s="1">
        <v>0</v>
      </c>
      <c r="X582" s="1">
        <v>0</v>
      </c>
      <c r="Y582" s="1">
        <v>0</v>
      </c>
      <c r="Z582" s="1">
        <v>0</v>
      </c>
      <c r="AA582" s="53">
        <f t="shared" si="160"/>
        <v>41</v>
      </c>
      <c r="AB582" s="52">
        <v>2020</v>
      </c>
      <c r="AC582" s="106"/>
      <c r="AD582" s="89"/>
    </row>
    <row r="583" spans="1:30" ht="47.25" customHeight="1" x14ac:dyDescent="0.2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69" t="s">
        <v>148</v>
      </c>
      <c r="S583" s="151" t="s">
        <v>37</v>
      </c>
      <c r="T583" s="71">
        <v>14</v>
      </c>
      <c r="U583" s="71">
        <v>0</v>
      </c>
      <c r="V583" s="71">
        <v>2</v>
      </c>
      <c r="W583" s="71">
        <v>0</v>
      </c>
      <c r="X583" s="71">
        <v>0</v>
      </c>
      <c r="Y583" s="71">
        <v>0</v>
      </c>
      <c r="Z583" s="71">
        <v>0</v>
      </c>
      <c r="AA583" s="86">
        <f t="shared" si="160"/>
        <v>16</v>
      </c>
      <c r="AB583" s="37">
        <v>2020</v>
      </c>
      <c r="AC583" s="31"/>
    </row>
    <row r="584" spans="1:30" ht="47.25" x14ac:dyDescent="0.25">
      <c r="A584" s="48" t="s">
        <v>18</v>
      </c>
      <c r="B584" s="48" t="s">
        <v>18</v>
      </c>
      <c r="C584" s="48" t="s">
        <v>25</v>
      </c>
      <c r="D584" s="48" t="s">
        <v>18</v>
      </c>
      <c r="E584" s="48" t="s">
        <v>21</v>
      </c>
      <c r="F584" s="48" t="s">
        <v>18</v>
      </c>
      <c r="G584" s="48" t="s">
        <v>22</v>
      </c>
      <c r="H584" s="48" t="s">
        <v>19</v>
      </c>
      <c r="I584" s="48" t="s">
        <v>24</v>
      </c>
      <c r="J584" s="48" t="s">
        <v>18</v>
      </c>
      <c r="K584" s="48" t="s">
        <v>18</v>
      </c>
      <c r="L584" s="48" t="s">
        <v>22</v>
      </c>
      <c r="M584" s="48" t="s">
        <v>42</v>
      </c>
      <c r="N584" s="48" t="s">
        <v>42</v>
      </c>
      <c r="O584" s="48" t="s">
        <v>42</v>
      </c>
      <c r="P584" s="48" t="s">
        <v>42</v>
      </c>
      <c r="Q584" s="48" t="s">
        <v>42</v>
      </c>
      <c r="R584" s="66" t="s">
        <v>144</v>
      </c>
      <c r="S584" s="49" t="s">
        <v>0</v>
      </c>
      <c r="T584" s="1">
        <f>35-32.2</f>
        <v>2.7999999999999972</v>
      </c>
      <c r="U584" s="1">
        <f>35-27.4</f>
        <v>7.6000000000000014</v>
      </c>
      <c r="V584" s="1">
        <f>35-18.1</f>
        <v>16.899999999999999</v>
      </c>
      <c r="W584" s="1">
        <v>0</v>
      </c>
      <c r="X584" s="1">
        <v>0</v>
      </c>
      <c r="Y584" s="1">
        <v>0</v>
      </c>
      <c r="Z584" s="1">
        <v>0</v>
      </c>
      <c r="AA584" s="53">
        <f t="shared" si="160"/>
        <v>27.299999999999997</v>
      </c>
      <c r="AB584" s="52">
        <v>2020</v>
      </c>
      <c r="AC584" s="31"/>
    </row>
    <row r="585" spans="1:30" ht="47.25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69" t="s">
        <v>149</v>
      </c>
      <c r="S585" s="151" t="s">
        <v>37</v>
      </c>
      <c r="T585" s="37">
        <v>1</v>
      </c>
      <c r="U585" s="37">
        <v>2</v>
      </c>
      <c r="V585" s="37">
        <v>4</v>
      </c>
      <c r="W585" s="71">
        <v>0</v>
      </c>
      <c r="X585" s="71">
        <v>0</v>
      </c>
      <c r="Y585" s="71">
        <v>0</v>
      </c>
      <c r="Z585" s="71">
        <v>0</v>
      </c>
      <c r="AA585" s="43">
        <f t="shared" si="160"/>
        <v>7</v>
      </c>
      <c r="AB585" s="37">
        <v>2020</v>
      </c>
      <c r="AC585" s="31"/>
    </row>
    <row r="586" spans="1:30" ht="31.5" hidden="1" x14ac:dyDescent="0.25">
      <c r="A586" s="48" t="s">
        <v>18</v>
      </c>
      <c r="B586" s="48" t="s">
        <v>19</v>
      </c>
      <c r="C586" s="48" t="s">
        <v>20</v>
      </c>
      <c r="D586" s="48" t="s">
        <v>18</v>
      </c>
      <c r="E586" s="48" t="s">
        <v>24</v>
      </c>
      <c r="F586" s="48" t="s">
        <v>18</v>
      </c>
      <c r="G586" s="48" t="s">
        <v>21</v>
      </c>
      <c r="H586" s="48" t="s">
        <v>19</v>
      </c>
      <c r="I586" s="48" t="s">
        <v>24</v>
      </c>
      <c r="J586" s="48" t="s">
        <v>18</v>
      </c>
      <c r="K586" s="48" t="s">
        <v>18</v>
      </c>
      <c r="L586" s="48" t="s">
        <v>22</v>
      </c>
      <c r="M586" s="48" t="s">
        <v>18</v>
      </c>
      <c r="N586" s="48" t="s">
        <v>18</v>
      </c>
      <c r="O586" s="48" t="s">
        <v>18</v>
      </c>
      <c r="P586" s="48" t="s">
        <v>18</v>
      </c>
      <c r="Q586" s="48" t="s">
        <v>18</v>
      </c>
      <c r="R586" s="150" t="s">
        <v>264</v>
      </c>
      <c r="S586" s="52" t="s">
        <v>0</v>
      </c>
      <c r="T586" s="53">
        <v>0</v>
      </c>
      <c r="U586" s="53">
        <v>0</v>
      </c>
      <c r="V586" s="53">
        <v>0</v>
      </c>
      <c r="W586" s="1">
        <v>0</v>
      </c>
      <c r="X586" s="53">
        <v>0</v>
      </c>
      <c r="Y586" s="53">
        <v>0</v>
      </c>
      <c r="Z586" s="53">
        <v>0</v>
      </c>
      <c r="AA586" s="53">
        <f>T586+U586+V586+W586+X586+Y586</f>
        <v>0</v>
      </c>
      <c r="AB586" s="52">
        <v>2019</v>
      </c>
      <c r="AC586" s="31"/>
    </row>
    <row r="587" spans="1:30" ht="31.5" hidden="1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69" t="s">
        <v>157</v>
      </c>
      <c r="S587" s="151" t="s">
        <v>37</v>
      </c>
      <c r="T587" s="37">
        <v>0</v>
      </c>
      <c r="U587" s="37">
        <v>1</v>
      </c>
      <c r="V587" s="37">
        <v>0</v>
      </c>
      <c r="W587" s="71">
        <v>0</v>
      </c>
      <c r="X587" s="37">
        <v>0</v>
      </c>
      <c r="Y587" s="37">
        <v>0</v>
      </c>
      <c r="Z587" s="37">
        <v>0</v>
      </c>
      <c r="AA587" s="43">
        <v>1</v>
      </c>
      <c r="AB587" s="37">
        <v>2019</v>
      </c>
      <c r="AC587" s="31"/>
    </row>
    <row r="588" spans="1:30" ht="63" hidden="1" x14ac:dyDescent="0.25">
      <c r="A588" s="48" t="s">
        <v>18</v>
      </c>
      <c r="B588" s="48" t="s">
        <v>19</v>
      </c>
      <c r="C588" s="48" t="s">
        <v>20</v>
      </c>
      <c r="D588" s="48" t="s">
        <v>18</v>
      </c>
      <c r="E588" s="48" t="s">
        <v>24</v>
      </c>
      <c r="F588" s="48" t="s">
        <v>18</v>
      </c>
      <c r="G588" s="48" t="s">
        <v>21</v>
      </c>
      <c r="H588" s="48" t="s">
        <v>19</v>
      </c>
      <c r="I588" s="48" t="s">
        <v>24</v>
      </c>
      <c r="J588" s="48" t="s">
        <v>18</v>
      </c>
      <c r="K588" s="48" t="s">
        <v>18</v>
      </c>
      <c r="L588" s="48" t="s">
        <v>22</v>
      </c>
      <c r="M588" s="48" t="s">
        <v>18</v>
      </c>
      <c r="N588" s="48" t="s">
        <v>18</v>
      </c>
      <c r="O588" s="48" t="s">
        <v>18</v>
      </c>
      <c r="P588" s="48" t="s">
        <v>18</v>
      </c>
      <c r="Q588" s="48" t="s">
        <v>18</v>
      </c>
      <c r="R588" s="150" t="s">
        <v>265</v>
      </c>
      <c r="S588" s="52" t="s">
        <v>0</v>
      </c>
      <c r="T588" s="53">
        <v>0</v>
      </c>
      <c r="U588" s="53">
        <v>0</v>
      </c>
      <c r="V588" s="53">
        <v>0</v>
      </c>
      <c r="W588" s="1">
        <v>0</v>
      </c>
      <c r="X588" s="53">
        <v>0</v>
      </c>
      <c r="Y588" s="53">
        <v>0</v>
      </c>
      <c r="Z588" s="53">
        <v>0</v>
      </c>
      <c r="AA588" s="53">
        <f>T588+U588+V588+W588+X588+Y588</f>
        <v>0</v>
      </c>
      <c r="AB588" s="52">
        <v>2019</v>
      </c>
      <c r="AC588" s="31"/>
    </row>
    <row r="589" spans="1:30" s="62" customFormat="1" ht="8.25" hidden="1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67" t="s">
        <v>266</v>
      </c>
      <c r="S589" s="37" t="s">
        <v>37</v>
      </c>
      <c r="T589" s="37">
        <v>0</v>
      </c>
      <c r="U589" s="37">
        <v>1</v>
      </c>
      <c r="V589" s="37">
        <v>0</v>
      </c>
      <c r="W589" s="71">
        <v>0</v>
      </c>
      <c r="X589" s="37">
        <v>0</v>
      </c>
      <c r="Y589" s="37">
        <v>0</v>
      </c>
      <c r="Z589" s="37">
        <v>0</v>
      </c>
      <c r="AA589" s="43">
        <f>U589</f>
        <v>1</v>
      </c>
      <c r="AB589" s="37">
        <v>2019</v>
      </c>
      <c r="AC589" s="98"/>
    </row>
    <row r="590" spans="1:30" ht="63" x14ac:dyDescent="0.25">
      <c r="A590" s="48" t="s">
        <v>18</v>
      </c>
      <c r="B590" s="48" t="s">
        <v>19</v>
      </c>
      <c r="C590" s="48" t="s">
        <v>20</v>
      </c>
      <c r="D590" s="48" t="s">
        <v>18</v>
      </c>
      <c r="E590" s="48" t="s">
        <v>24</v>
      </c>
      <c r="F590" s="48" t="s">
        <v>18</v>
      </c>
      <c r="G590" s="48" t="s">
        <v>21</v>
      </c>
      <c r="H590" s="48" t="s">
        <v>19</v>
      </c>
      <c r="I590" s="48" t="s">
        <v>24</v>
      </c>
      <c r="J590" s="48" t="s">
        <v>18</v>
      </c>
      <c r="K590" s="48" t="s">
        <v>18</v>
      </c>
      <c r="L590" s="48" t="s">
        <v>22</v>
      </c>
      <c r="M590" s="48" t="s">
        <v>19</v>
      </c>
      <c r="N590" s="48" t="s">
        <v>18</v>
      </c>
      <c r="O590" s="48" t="s">
        <v>21</v>
      </c>
      <c r="P590" s="48" t="s">
        <v>21</v>
      </c>
      <c r="Q590" s="48" t="s">
        <v>18</v>
      </c>
      <c r="R590" s="150" t="s">
        <v>277</v>
      </c>
      <c r="S590" s="52" t="s">
        <v>0</v>
      </c>
      <c r="T590" s="53">
        <v>0</v>
      </c>
      <c r="U590" s="53">
        <v>731.8</v>
      </c>
      <c r="V590" s="53">
        <v>0</v>
      </c>
      <c r="W590" s="53">
        <v>0</v>
      </c>
      <c r="X590" s="53">
        <v>0</v>
      </c>
      <c r="Y590" s="53">
        <v>0</v>
      </c>
      <c r="Z590" s="53">
        <v>0</v>
      </c>
      <c r="AA590" s="53">
        <f>T590+U590+V590+W590+X590+Y590</f>
        <v>731.8</v>
      </c>
      <c r="AB590" s="52">
        <v>2019</v>
      </c>
    </row>
    <row r="591" spans="1:30" s="62" customFormat="1" ht="31.5" x14ac:dyDescent="0.2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67" t="s">
        <v>267</v>
      </c>
      <c r="S591" s="37" t="s">
        <v>48</v>
      </c>
      <c r="T591" s="40">
        <v>0</v>
      </c>
      <c r="U591" s="40">
        <v>347</v>
      </c>
      <c r="V591" s="40">
        <v>0</v>
      </c>
      <c r="W591" s="40">
        <v>0</v>
      </c>
      <c r="X591" s="40">
        <v>0</v>
      </c>
      <c r="Y591" s="40">
        <v>0</v>
      </c>
      <c r="Z591" s="40">
        <v>0</v>
      </c>
      <c r="AA591" s="43">
        <f>U591</f>
        <v>347</v>
      </c>
      <c r="AB591" s="63">
        <v>2019</v>
      </c>
      <c r="AC591" s="98"/>
    </row>
    <row r="592" spans="1:30" ht="31.5" x14ac:dyDescent="0.25">
      <c r="A592" s="42"/>
      <c r="B592" s="42"/>
      <c r="C592" s="42"/>
      <c r="D592" s="42"/>
      <c r="E592" s="42"/>
      <c r="F592" s="42"/>
      <c r="G592" s="42"/>
      <c r="H592" s="42" t="s">
        <v>19</v>
      </c>
      <c r="I592" s="42" t="s">
        <v>24</v>
      </c>
      <c r="J592" s="42" t="s">
        <v>18</v>
      </c>
      <c r="K592" s="42" t="s">
        <v>18</v>
      </c>
      <c r="L592" s="42" t="s">
        <v>24</v>
      </c>
      <c r="M592" s="42" t="s">
        <v>18</v>
      </c>
      <c r="N592" s="42" t="s">
        <v>18</v>
      </c>
      <c r="O592" s="42" t="s">
        <v>18</v>
      </c>
      <c r="P592" s="42" t="s">
        <v>18</v>
      </c>
      <c r="Q592" s="42" t="s">
        <v>18</v>
      </c>
      <c r="R592" s="64" t="s">
        <v>52</v>
      </c>
      <c r="S592" s="127" t="s">
        <v>0</v>
      </c>
      <c r="T592" s="126">
        <f t="shared" ref="T592:X592" si="161">T594+T610+T603</f>
        <v>25348.3</v>
      </c>
      <c r="U592" s="126">
        <f t="shared" si="161"/>
        <v>35592.6</v>
      </c>
      <c r="V592" s="126">
        <f t="shared" si="161"/>
        <v>25348.3</v>
      </c>
      <c r="W592" s="126">
        <f t="shared" si="161"/>
        <v>26934.5</v>
      </c>
      <c r="X592" s="126">
        <f t="shared" si="161"/>
        <v>29982.600000000002</v>
      </c>
      <c r="Y592" s="126">
        <f>Y594+Y610+Y603+Y616</f>
        <v>35681.700000000004</v>
      </c>
      <c r="Z592" s="126">
        <f>Z594+Z610+Z603+Z616</f>
        <v>34277.5</v>
      </c>
      <c r="AA592" s="126">
        <f>SUM(T592:Z592)</f>
        <v>213165.5</v>
      </c>
      <c r="AB592" s="127">
        <v>2024</v>
      </c>
    </row>
    <row r="593" spans="1:33" ht="31.5" x14ac:dyDescent="0.2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80" t="s">
        <v>150</v>
      </c>
      <c r="S593" s="151" t="s">
        <v>50</v>
      </c>
      <c r="T593" s="124">
        <f>T598</f>
        <v>2225</v>
      </c>
      <c r="U593" s="124">
        <f t="shared" ref="U593:AA593" si="162">U598</f>
        <v>2224</v>
      </c>
      <c r="V593" s="124">
        <f t="shared" si="162"/>
        <v>2224</v>
      </c>
      <c r="W593" s="124">
        <f t="shared" si="162"/>
        <v>2224</v>
      </c>
      <c r="X593" s="124">
        <f t="shared" si="162"/>
        <v>2225</v>
      </c>
      <c r="Y593" s="124">
        <f t="shared" si="162"/>
        <v>2225</v>
      </c>
      <c r="Z593" s="124">
        <f t="shared" si="162"/>
        <v>2225</v>
      </c>
      <c r="AA593" s="143">
        <f t="shared" si="162"/>
        <v>2225</v>
      </c>
      <c r="AB593" s="37">
        <v>2024</v>
      </c>
      <c r="AD593" s="10"/>
      <c r="AE593" s="10"/>
      <c r="AF593" s="10"/>
      <c r="AG593" s="10"/>
    </row>
    <row r="594" spans="1:33" x14ac:dyDescent="0.25">
      <c r="A594" s="48"/>
      <c r="B594" s="48"/>
      <c r="C594" s="48"/>
      <c r="D594" s="48" t="s">
        <v>18</v>
      </c>
      <c r="E594" s="48" t="s">
        <v>21</v>
      </c>
      <c r="F594" s="48" t="s">
        <v>18</v>
      </c>
      <c r="G594" s="48" t="s">
        <v>22</v>
      </c>
      <c r="H594" s="48" t="s">
        <v>19</v>
      </c>
      <c r="I594" s="48" t="s">
        <v>24</v>
      </c>
      <c r="J594" s="48" t="s">
        <v>18</v>
      </c>
      <c r="K594" s="48" t="s">
        <v>18</v>
      </c>
      <c r="L594" s="48" t="s">
        <v>24</v>
      </c>
      <c r="M594" s="48" t="s">
        <v>42</v>
      </c>
      <c r="N594" s="48" t="s">
        <v>42</v>
      </c>
      <c r="O594" s="48" t="s">
        <v>42</v>
      </c>
      <c r="P594" s="48" t="s">
        <v>42</v>
      </c>
      <c r="Q594" s="48" t="s">
        <v>42</v>
      </c>
      <c r="R594" s="153" t="s">
        <v>151</v>
      </c>
      <c r="S594" s="155" t="s">
        <v>0</v>
      </c>
      <c r="T594" s="53">
        <f>SUM(T595:T597)</f>
        <v>25348.3</v>
      </c>
      <c r="U594" s="53">
        <f t="shared" ref="U594:Z594" si="163">SUM(U595:U597)</f>
        <v>24911.8</v>
      </c>
      <c r="V594" s="53">
        <f t="shared" si="163"/>
        <v>25348.3</v>
      </c>
      <c r="W594" s="53">
        <f t="shared" si="163"/>
        <v>22802.2</v>
      </c>
      <c r="X594" s="53">
        <f t="shared" si="163"/>
        <v>28227.600000000002</v>
      </c>
      <c r="Y594" s="53">
        <f t="shared" si="163"/>
        <v>25660.400000000001</v>
      </c>
      <c r="Z594" s="53">
        <f t="shared" si="163"/>
        <v>25660.400000000001</v>
      </c>
      <c r="AA594" s="53">
        <f>SUM(T594:Z594)</f>
        <v>177959</v>
      </c>
      <c r="AB594" s="52">
        <v>2024</v>
      </c>
      <c r="AC594" s="31"/>
    </row>
    <row r="595" spans="1:33" x14ac:dyDescent="0.25">
      <c r="A595" s="48" t="s">
        <v>18</v>
      </c>
      <c r="B595" s="48" t="s">
        <v>19</v>
      </c>
      <c r="C595" s="48" t="s">
        <v>20</v>
      </c>
      <c r="D595" s="48" t="s">
        <v>18</v>
      </c>
      <c r="E595" s="48" t="s">
        <v>21</v>
      </c>
      <c r="F595" s="48" t="s">
        <v>18</v>
      </c>
      <c r="G595" s="48" t="s">
        <v>22</v>
      </c>
      <c r="H595" s="48" t="s">
        <v>19</v>
      </c>
      <c r="I595" s="48" t="s">
        <v>24</v>
      </c>
      <c r="J595" s="48" t="s">
        <v>18</v>
      </c>
      <c r="K595" s="48" t="s">
        <v>18</v>
      </c>
      <c r="L595" s="48" t="s">
        <v>24</v>
      </c>
      <c r="M595" s="48" t="s">
        <v>42</v>
      </c>
      <c r="N595" s="48" t="s">
        <v>42</v>
      </c>
      <c r="O595" s="48" t="s">
        <v>42</v>
      </c>
      <c r="P595" s="48" t="s">
        <v>42</v>
      </c>
      <c r="Q595" s="48" t="s">
        <v>42</v>
      </c>
      <c r="R595" s="154"/>
      <c r="S595" s="156"/>
      <c r="T595" s="1">
        <v>25348.3</v>
      </c>
      <c r="U595" s="1">
        <v>24911.8</v>
      </c>
      <c r="V595" s="1">
        <v>0</v>
      </c>
      <c r="W595" s="1">
        <v>0</v>
      </c>
      <c r="X595" s="1">
        <v>0</v>
      </c>
      <c r="Y595" s="1">
        <v>0</v>
      </c>
      <c r="Z595" s="1">
        <v>0</v>
      </c>
      <c r="AA595" s="53">
        <f t="shared" ref="AA595:AA597" si="164">SUM(T595:Z595)</f>
        <v>50260.1</v>
      </c>
      <c r="AB595" s="49">
        <v>2019</v>
      </c>
      <c r="AC595" s="31"/>
    </row>
    <row r="596" spans="1:33" x14ac:dyDescent="0.25">
      <c r="A596" s="48" t="s">
        <v>18</v>
      </c>
      <c r="B596" s="48" t="s">
        <v>19</v>
      </c>
      <c r="C596" s="48" t="s">
        <v>24</v>
      </c>
      <c r="D596" s="48" t="s">
        <v>18</v>
      </c>
      <c r="E596" s="48" t="s">
        <v>21</v>
      </c>
      <c r="F596" s="48" t="s">
        <v>18</v>
      </c>
      <c r="G596" s="48" t="s">
        <v>22</v>
      </c>
      <c r="H596" s="48" t="s">
        <v>19</v>
      </c>
      <c r="I596" s="48" t="s">
        <v>24</v>
      </c>
      <c r="J596" s="48" t="s">
        <v>18</v>
      </c>
      <c r="K596" s="48" t="s">
        <v>18</v>
      </c>
      <c r="L596" s="48" t="s">
        <v>24</v>
      </c>
      <c r="M596" s="48" t="s">
        <v>42</v>
      </c>
      <c r="N596" s="48" t="s">
        <v>42</v>
      </c>
      <c r="O596" s="48" t="s">
        <v>42</v>
      </c>
      <c r="P596" s="48" t="s">
        <v>42</v>
      </c>
      <c r="Q596" s="48" t="s">
        <v>42</v>
      </c>
      <c r="R596" s="154"/>
      <c r="S596" s="156"/>
      <c r="T596" s="1">
        <v>0</v>
      </c>
      <c r="U596" s="1">
        <v>0</v>
      </c>
      <c r="V596" s="1">
        <v>25348.3</v>
      </c>
      <c r="W596" s="1">
        <f>21770.4+1031.8</f>
        <v>22802.2</v>
      </c>
      <c r="X596" s="1">
        <f>21770.4+6457.2</f>
        <v>28227.600000000002</v>
      </c>
      <c r="Y596" s="1">
        <v>0</v>
      </c>
      <c r="Z596" s="1">
        <v>0</v>
      </c>
      <c r="AA596" s="53">
        <f t="shared" si="164"/>
        <v>76378.100000000006</v>
      </c>
      <c r="AB596" s="49">
        <v>2022</v>
      </c>
      <c r="AC596" s="31"/>
    </row>
    <row r="597" spans="1:33" x14ac:dyDescent="0.25">
      <c r="A597" s="48" t="s">
        <v>18</v>
      </c>
      <c r="B597" s="48" t="s">
        <v>24</v>
      </c>
      <c r="C597" s="48" t="s">
        <v>22</v>
      </c>
      <c r="D597" s="48" t="s">
        <v>18</v>
      </c>
      <c r="E597" s="48" t="s">
        <v>21</v>
      </c>
      <c r="F597" s="48" t="s">
        <v>18</v>
      </c>
      <c r="G597" s="48" t="s">
        <v>22</v>
      </c>
      <c r="H597" s="48" t="s">
        <v>19</v>
      </c>
      <c r="I597" s="48" t="s">
        <v>24</v>
      </c>
      <c r="J597" s="48" t="s">
        <v>18</v>
      </c>
      <c r="K597" s="48" t="s">
        <v>18</v>
      </c>
      <c r="L597" s="48" t="s">
        <v>24</v>
      </c>
      <c r="M597" s="48" t="s">
        <v>42</v>
      </c>
      <c r="N597" s="48" t="s">
        <v>42</v>
      </c>
      <c r="O597" s="48" t="s">
        <v>42</v>
      </c>
      <c r="P597" s="48" t="s">
        <v>42</v>
      </c>
      <c r="Q597" s="48" t="s">
        <v>42</v>
      </c>
      <c r="R597" s="170"/>
      <c r="S597" s="171"/>
      <c r="T597" s="1">
        <v>0</v>
      </c>
      <c r="U597" s="1">
        <v>0</v>
      </c>
      <c r="V597" s="1">
        <v>0</v>
      </c>
      <c r="W597" s="1">
        <v>0</v>
      </c>
      <c r="X597" s="1">
        <v>0</v>
      </c>
      <c r="Y597" s="1">
        <v>25660.400000000001</v>
      </c>
      <c r="Z597" s="1">
        <v>25660.400000000001</v>
      </c>
      <c r="AA597" s="53">
        <f t="shared" si="164"/>
        <v>51320.800000000003</v>
      </c>
      <c r="AB597" s="49">
        <v>2024</v>
      </c>
      <c r="AC597" s="31"/>
    </row>
    <row r="598" spans="1:33" ht="31.5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69" t="s">
        <v>152</v>
      </c>
      <c r="S598" s="151" t="s">
        <v>50</v>
      </c>
      <c r="T598" s="2">
        <v>2225</v>
      </c>
      <c r="U598" s="40">
        <v>2224</v>
      </c>
      <c r="V598" s="40">
        <v>2224</v>
      </c>
      <c r="W598" s="40">
        <v>2224</v>
      </c>
      <c r="X598" s="40">
        <v>2225</v>
      </c>
      <c r="Y598" s="40">
        <v>2225</v>
      </c>
      <c r="Z598" s="40">
        <v>2225</v>
      </c>
      <c r="AA598" s="43">
        <f>Z598</f>
        <v>2225</v>
      </c>
      <c r="AB598" s="37">
        <v>2024</v>
      </c>
      <c r="AC598" s="31"/>
    </row>
    <row r="599" spans="1:33" ht="31.5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69" t="s">
        <v>153</v>
      </c>
      <c r="S599" s="151" t="s">
        <v>51</v>
      </c>
      <c r="T599" s="2">
        <v>365</v>
      </c>
      <c r="U599" s="2">
        <v>365</v>
      </c>
      <c r="V599" s="40">
        <v>366</v>
      </c>
      <c r="W599" s="40">
        <v>365</v>
      </c>
      <c r="X599" s="2">
        <v>365</v>
      </c>
      <c r="Y599" s="2">
        <v>365</v>
      </c>
      <c r="Z599" s="2">
        <v>366</v>
      </c>
      <c r="AA599" s="41">
        <f>T599+U599+V599+W599+X599+Y599+Z599</f>
        <v>2557</v>
      </c>
      <c r="AB599" s="37">
        <v>2024</v>
      </c>
      <c r="AC599" s="31"/>
    </row>
    <row r="600" spans="1:33" ht="31.5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69" t="s">
        <v>154</v>
      </c>
      <c r="S600" s="151" t="s">
        <v>37</v>
      </c>
      <c r="T600" s="2">
        <v>4917</v>
      </c>
      <c r="U600" s="2">
        <v>5400</v>
      </c>
      <c r="V600" s="2">
        <v>4794</v>
      </c>
      <c r="W600" s="40">
        <v>6500</v>
      </c>
      <c r="X600" s="2">
        <v>5668</v>
      </c>
      <c r="Y600" s="2">
        <v>4700</v>
      </c>
      <c r="Z600" s="2">
        <v>6453</v>
      </c>
      <c r="AA600" s="41">
        <f t="shared" ref="AA600:AA602" si="165">T600+U600+V600+W600+X600+Y600+Z600</f>
        <v>38432</v>
      </c>
      <c r="AB600" s="37">
        <v>2024</v>
      </c>
      <c r="AC600" s="110"/>
      <c r="AD600" s="89"/>
    </row>
    <row r="601" spans="1:33" ht="47.25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69" t="s">
        <v>155</v>
      </c>
      <c r="S601" s="151" t="s">
        <v>37</v>
      </c>
      <c r="T601" s="2">
        <v>4598</v>
      </c>
      <c r="U601" s="40">
        <v>4558</v>
      </c>
      <c r="V601" s="2">
        <v>4594</v>
      </c>
      <c r="W601" s="40">
        <v>6500</v>
      </c>
      <c r="X601" s="2">
        <v>5668</v>
      </c>
      <c r="Y601" s="2">
        <v>4700</v>
      </c>
      <c r="Z601" s="2">
        <v>6453</v>
      </c>
      <c r="AA601" s="41">
        <f t="shared" si="165"/>
        <v>37071</v>
      </c>
      <c r="AB601" s="37">
        <v>2024</v>
      </c>
      <c r="AC601" s="110"/>
      <c r="AD601" s="89"/>
    </row>
    <row r="602" spans="1:33" ht="47.25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69" t="s">
        <v>156</v>
      </c>
      <c r="S602" s="151" t="s">
        <v>37</v>
      </c>
      <c r="T602" s="2">
        <v>488</v>
      </c>
      <c r="U602" s="2">
        <v>550</v>
      </c>
      <c r="V602" s="2">
        <v>516</v>
      </c>
      <c r="W602" s="40">
        <v>500</v>
      </c>
      <c r="X602" s="2">
        <v>590</v>
      </c>
      <c r="Y602" s="2">
        <v>530</v>
      </c>
      <c r="Z602" s="2">
        <v>490</v>
      </c>
      <c r="AA602" s="41">
        <f t="shared" si="165"/>
        <v>3664</v>
      </c>
      <c r="AB602" s="37">
        <v>2024</v>
      </c>
      <c r="AC602" s="110"/>
      <c r="AD602" s="89"/>
    </row>
    <row r="603" spans="1:33" ht="15.75" customHeight="1" x14ac:dyDescent="0.25">
      <c r="A603" s="48"/>
      <c r="B603" s="48"/>
      <c r="C603" s="48"/>
      <c r="D603" s="48" t="s">
        <v>18</v>
      </c>
      <c r="E603" s="48" t="s">
        <v>21</v>
      </c>
      <c r="F603" s="48" t="s">
        <v>18</v>
      </c>
      <c r="G603" s="48" t="s">
        <v>22</v>
      </c>
      <c r="H603" s="48" t="s">
        <v>19</v>
      </c>
      <c r="I603" s="48" t="s">
        <v>24</v>
      </c>
      <c r="J603" s="48" t="s">
        <v>18</v>
      </c>
      <c r="K603" s="48" t="s">
        <v>18</v>
      </c>
      <c r="L603" s="48" t="s">
        <v>24</v>
      </c>
      <c r="M603" s="48" t="s">
        <v>42</v>
      </c>
      <c r="N603" s="48" t="s">
        <v>42</v>
      </c>
      <c r="O603" s="48" t="s">
        <v>42</v>
      </c>
      <c r="P603" s="48" t="s">
        <v>42</v>
      </c>
      <c r="Q603" s="48" t="s">
        <v>42</v>
      </c>
      <c r="R603" s="153" t="s">
        <v>298</v>
      </c>
      <c r="S603" s="155" t="s">
        <v>0</v>
      </c>
      <c r="T603" s="53">
        <f>SUM(T604:T606)</f>
        <v>0</v>
      </c>
      <c r="U603" s="53">
        <f t="shared" ref="U603:Z603" si="166">SUM(U604:U606)</f>
        <v>10680.8</v>
      </c>
      <c r="V603" s="53">
        <f t="shared" si="166"/>
        <v>0</v>
      </c>
      <c r="W603" s="53">
        <f t="shared" si="166"/>
        <v>4132.3</v>
      </c>
      <c r="X603" s="53">
        <f t="shared" si="166"/>
        <v>825</v>
      </c>
      <c r="Y603" s="53">
        <f t="shared" si="166"/>
        <v>0</v>
      </c>
      <c r="Z603" s="53">
        <f t="shared" si="166"/>
        <v>8000</v>
      </c>
      <c r="AA603" s="53">
        <f>SUM(T603:Z603)</f>
        <v>23638.1</v>
      </c>
      <c r="AB603" s="52">
        <v>2024</v>
      </c>
      <c r="AC603" s="31"/>
      <c r="AD603" s="89"/>
    </row>
    <row r="604" spans="1:33" x14ac:dyDescent="0.25">
      <c r="A604" s="48" t="s">
        <v>18</v>
      </c>
      <c r="B604" s="48" t="s">
        <v>19</v>
      </c>
      <c r="C604" s="48" t="s">
        <v>20</v>
      </c>
      <c r="D604" s="48" t="s">
        <v>18</v>
      </c>
      <c r="E604" s="48" t="s">
        <v>21</v>
      </c>
      <c r="F604" s="48" t="s">
        <v>18</v>
      </c>
      <c r="G604" s="48" t="s">
        <v>22</v>
      </c>
      <c r="H604" s="48" t="s">
        <v>19</v>
      </c>
      <c r="I604" s="48" t="s">
        <v>24</v>
      </c>
      <c r="J604" s="48" t="s">
        <v>18</v>
      </c>
      <c r="K604" s="48" t="s">
        <v>18</v>
      </c>
      <c r="L604" s="48" t="s">
        <v>24</v>
      </c>
      <c r="M604" s="48" t="s">
        <v>42</v>
      </c>
      <c r="N604" s="48" t="s">
        <v>42</v>
      </c>
      <c r="O604" s="48" t="s">
        <v>42</v>
      </c>
      <c r="P604" s="48" t="s">
        <v>42</v>
      </c>
      <c r="Q604" s="48" t="s">
        <v>42</v>
      </c>
      <c r="R604" s="154"/>
      <c r="S604" s="156"/>
      <c r="T604" s="1">
        <v>0</v>
      </c>
      <c r="U604" s="1">
        <v>10680.8</v>
      </c>
      <c r="V604" s="1">
        <v>0</v>
      </c>
      <c r="W604" s="1">
        <v>0</v>
      </c>
      <c r="X604" s="1">
        <v>0</v>
      </c>
      <c r="Y604" s="1">
        <v>0</v>
      </c>
      <c r="Z604" s="1">
        <v>0</v>
      </c>
      <c r="AA604" s="53">
        <f t="shared" ref="AA604:AA606" si="167">SUM(T604:Z604)</f>
        <v>10680.8</v>
      </c>
      <c r="AB604" s="52">
        <v>2019</v>
      </c>
      <c r="AC604" s="31"/>
      <c r="AD604" s="89"/>
    </row>
    <row r="605" spans="1:33" x14ac:dyDescent="0.25">
      <c r="A605" s="48" t="s">
        <v>18</v>
      </c>
      <c r="B605" s="48" t="s">
        <v>19</v>
      </c>
      <c r="C605" s="48" t="s">
        <v>24</v>
      </c>
      <c r="D605" s="48" t="s">
        <v>18</v>
      </c>
      <c r="E605" s="48" t="s">
        <v>21</v>
      </c>
      <c r="F605" s="48" t="s">
        <v>18</v>
      </c>
      <c r="G605" s="48" t="s">
        <v>22</v>
      </c>
      <c r="H605" s="48" t="s">
        <v>19</v>
      </c>
      <c r="I605" s="48" t="s">
        <v>24</v>
      </c>
      <c r="J605" s="48" t="s">
        <v>18</v>
      </c>
      <c r="K605" s="48" t="s">
        <v>18</v>
      </c>
      <c r="L605" s="48" t="s">
        <v>24</v>
      </c>
      <c r="M605" s="48" t="s">
        <v>42</v>
      </c>
      <c r="N605" s="48" t="s">
        <v>42</v>
      </c>
      <c r="O605" s="48" t="s">
        <v>42</v>
      </c>
      <c r="P605" s="48" t="s">
        <v>42</v>
      </c>
      <c r="Q605" s="48" t="s">
        <v>42</v>
      </c>
      <c r="R605" s="154"/>
      <c r="S605" s="156"/>
      <c r="T605" s="1">
        <v>0</v>
      </c>
      <c r="U605" s="1">
        <v>0</v>
      </c>
      <c r="V605" s="1">
        <v>0</v>
      </c>
      <c r="W605" s="1">
        <v>4132.3</v>
      </c>
      <c r="X605" s="1">
        <f>0+825</f>
        <v>825</v>
      </c>
      <c r="Y605" s="1">
        <v>0</v>
      </c>
      <c r="Z605" s="1">
        <v>0</v>
      </c>
      <c r="AA605" s="53">
        <f t="shared" si="167"/>
        <v>4957.3</v>
      </c>
      <c r="AB605" s="52">
        <v>2022</v>
      </c>
      <c r="AC605" s="31"/>
      <c r="AD605" s="89"/>
    </row>
    <row r="606" spans="1:33" x14ac:dyDescent="0.25">
      <c r="A606" s="48" t="s">
        <v>18</v>
      </c>
      <c r="B606" s="48" t="s">
        <v>24</v>
      </c>
      <c r="C606" s="48" t="s">
        <v>22</v>
      </c>
      <c r="D606" s="48" t="s">
        <v>18</v>
      </c>
      <c r="E606" s="48" t="s">
        <v>21</v>
      </c>
      <c r="F606" s="48" t="s">
        <v>18</v>
      </c>
      <c r="G606" s="48" t="s">
        <v>22</v>
      </c>
      <c r="H606" s="48" t="s">
        <v>19</v>
      </c>
      <c r="I606" s="48" t="s">
        <v>24</v>
      </c>
      <c r="J606" s="48" t="s">
        <v>18</v>
      </c>
      <c r="K606" s="48" t="s">
        <v>18</v>
      </c>
      <c r="L606" s="48" t="s">
        <v>24</v>
      </c>
      <c r="M606" s="48" t="s">
        <v>42</v>
      </c>
      <c r="N606" s="48" t="s">
        <v>42</v>
      </c>
      <c r="O606" s="48" t="s">
        <v>42</v>
      </c>
      <c r="P606" s="48" t="s">
        <v>42</v>
      </c>
      <c r="Q606" s="48" t="s">
        <v>42</v>
      </c>
      <c r="R606" s="170"/>
      <c r="S606" s="171"/>
      <c r="T606" s="1">
        <v>0</v>
      </c>
      <c r="U606" s="1">
        <v>0</v>
      </c>
      <c r="V606" s="1">
        <v>0</v>
      </c>
      <c r="W606" s="1">
        <v>0</v>
      </c>
      <c r="X606" s="1">
        <v>0</v>
      </c>
      <c r="Y606" s="1">
        <v>0</v>
      </c>
      <c r="Z606" s="1">
        <f>3000+5000</f>
        <v>8000</v>
      </c>
      <c r="AA606" s="53">
        <f t="shared" si="167"/>
        <v>8000</v>
      </c>
      <c r="AB606" s="52">
        <v>2024</v>
      </c>
      <c r="AC606" s="31"/>
      <c r="AD606" s="89"/>
    </row>
    <row r="607" spans="1:33" ht="31.5" x14ac:dyDescent="0.2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67" t="s">
        <v>246</v>
      </c>
      <c r="S607" s="37" t="s">
        <v>37</v>
      </c>
      <c r="T607" s="40">
        <v>0</v>
      </c>
      <c r="U607" s="40">
        <v>7300</v>
      </c>
      <c r="V607" s="40">
        <v>0</v>
      </c>
      <c r="W607" s="40">
        <v>7300</v>
      </c>
      <c r="X607" s="40">
        <v>0</v>
      </c>
      <c r="Y607" s="40">
        <v>0</v>
      </c>
      <c r="Z607" s="40">
        <v>3200</v>
      </c>
      <c r="AA607" s="43">
        <f>Z607+W607</f>
        <v>10500</v>
      </c>
      <c r="AB607" s="37">
        <v>2024</v>
      </c>
      <c r="AC607" s="31"/>
      <c r="AD607" s="91"/>
      <c r="AE607" s="91"/>
    </row>
    <row r="608" spans="1:33" ht="37.5" customHeight="1" x14ac:dyDescent="0.2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67" t="s">
        <v>336</v>
      </c>
      <c r="S608" s="37" t="s">
        <v>37</v>
      </c>
      <c r="T608" s="40">
        <v>0</v>
      </c>
      <c r="U608" s="40">
        <v>0</v>
      </c>
      <c r="V608" s="40">
        <v>0</v>
      </c>
      <c r="W608" s="40">
        <v>0</v>
      </c>
      <c r="X608" s="40">
        <v>2</v>
      </c>
      <c r="Y608" s="40">
        <v>0</v>
      </c>
      <c r="Z608" s="40">
        <v>0</v>
      </c>
      <c r="AA608" s="43">
        <f>X608</f>
        <v>2</v>
      </c>
      <c r="AB608" s="37">
        <v>2022</v>
      </c>
      <c r="AC608" s="31"/>
      <c r="AD608" s="91"/>
      <c r="AE608" s="91"/>
    </row>
    <row r="609" spans="1:31" ht="33" customHeight="1" x14ac:dyDescent="0.2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67" t="s">
        <v>361</v>
      </c>
      <c r="S609" s="37" t="s">
        <v>37</v>
      </c>
      <c r="T609" s="40">
        <v>0</v>
      </c>
      <c r="U609" s="40">
        <v>0</v>
      </c>
      <c r="V609" s="40">
        <v>0</v>
      </c>
      <c r="W609" s="40">
        <v>0</v>
      </c>
      <c r="X609" s="40">
        <v>0</v>
      </c>
      <c r="Y609" s="40">
        <v>0</v>
      </c>
      <c r="Z609" s="40">
        <v>1</v>
      </c>
      <c r="AA609" s="43">
        <v>1</v>
      </c>
      <c r="AB609" s="37">
        <v>2024</v>
      </c>
      <c r="AC609" s="31"/>
      <c r="AD609" s="91"/>
      <c r="AE609" s="91"/>
    </row>
    <row r="610" spans="1:31" x14ac:dyDescent="0.25">
      <c r="A610" s="48"/>
      <c r="B610" s="48"/>
      <c r="C610" s="48"/>
      <c r="D610" s="48" t="s">
        <v>18</v>
      </c>
      <c r="E610" s="48" t="s">
        <v>21</v>
      </c>
      <c r="F610" s="48" t="s">
        <v>18</v>
      </c>
      <c r="G610" s="48" t="s">
        <v>22</v>
      </c>
      <c r="H610" s="48" t="s">
        <v>19</v>
      </c>
      <c r="I610" s="48" t="s">
        <v>24</v>
      </c>
      <c r="J610" s="48" t="s">
        <v>18</v>
      </c>
      <c r="K610" s="48" t="s">
        <v>18</v>
      </c>
      <c r="L610" s="48" t="s">
        <v>24</v>
      </c>
      <c r="M610" s="48" t="s">
        <v>18</v>
      </c>
      <c r="N610" s="48" t="s">
        <v>18</v>
      </c>
      <c r="O610" s="48" t="s">
        <v>18</v>
      </c>
      <c r="P610" s="48" t="s">
        <v>24</v>
      </c>
      <c r="Q610" s="48" t="s">
        <v>22</v>
      </c>
      <c r="R610" s="153" t="s">
        <v>335</v>
      </c>
      <c r="S610" s="155" t="s">
        <v>0</v>
      </c>
      <c r="T610" s="53">
        <v>0</v>
      </c>
      <c r="U610" s="53">
        <f>4000-4000</f>
        <v>0</v>
      </c>
      <c r="V610" s="53">
        <v>0</v>
      </c>
      <c r="W610" s="53">
        <v>0</v>
      </c>
      <c r="X610" s="53">
        <f>X611+X612</f>
        <v>930</v>
      </c>
      <c r="Y610" s="53">
        <f t="shared" ref="Y610" si="168">Y611+Y612</f>
        <v>9521.5</v>
      </c>
      <c r="Z610" s="53">
        <v>0</v>
      </c>
      <c r="AA610" s="53">
        <f>SUM(T610:Z610)</f>
        <v>10451.5</v>
      </c>
      <c r="AB610" s="52">
        <v>2023</v>
      </c>
      <c r="AC610" s="31"/>
      <c r="AD610" s="89"/>
    </row>
    <row r="611" spans="1:31" x14ac:dyDescent="0.25">
      <c r="A611" s="48" t="s">
        <v>18</v>
      </c>
      <c r="B611" s="48" t="s">
        <v>19</v>
      </c>
      <c r="C611" s="48" t="s">
        <v>24</v>
      </c>
      <c r="D611" s="48" t="s">
        <v>18</v>
      </c>
      <c r="E611" s="48" t="s">
        <v>21</v>
      </c>
      <c r="F611" s="48" t="s">
        <v>18</v>
      </c>
      <c r="G611" s="48" t="s">
        <v>22</v>
      </c>
      <c r="H611" s="48" t="s">
        <v>19</v>
      </c>
      <c r="I611" s="48" t="s">
        <v>24</v>
      </c>
      <c r="J611" s="48" t="s">
        <v>18</v>
      </c>
      <c r="K611" s="48" t="s">
        <v>18</v>
      </c>
      <c r="L611" s="48" t="s">
        <v>24</v>
      </c>
      <c r="M611" s="48" t="s">
        <v>18</v>
      </c>
      <c r="N611" s="48" t="s">
        <v>18</v>
      </c>
      <c r="O611" s="48" t="s">
        <v>18</v>
      </c>
      <c r="P611" s="48" t="s">
        <v>24</v>
      </c>
      <c r="Q611" s="48" t="s">
        <v>22</v>
      </c>
      <c r="R611" s="154"/>
      <c r="S611" s="156"/>
      <c r="T611" s="1">
        <v>0</v>
      </c>
      <c r="U611" s="1">
        <v>0</v>
      </c>
      <c r="V611" s="1">
        <v>0</v>
      </c>
      <c r="W611" s="1">
        <v>0</v>
      </c>
      <c r="X611" s="1">
        <v>930</v>
      </c>
      <c r="Y611" s="1">
        <v>0</v>
      </c>
      <c r="Z611" s="1">
        <v>0</v>
      </c>
      <c r="AA611" s="53">
        <f t="shared" ref="AA611:AA612" si="169">SUM(T611:Z611)</f>
        <v>930</v>
      </c>
      <c r="AB611" s="52">
        <v>2022</v>
      </c>
      <c r="AC611" s="31"/>
      <c r="AD611" s="89"/>
    </row>
    <row r="612" spans="1:31" x14ac:dyDescent="0.25">
      <c r="A612" s="48" t="s">
        <v>18</v>
      </c>
      <c r="B612" s="48" t="s">
        <v>24</v>
      </c>
      <c r="C612" s="48" t="s">
        <v>22</v>
      </c>
      <c r="D612" s="48" t="s">
        <v>18</v>
      </c>
      <c r="E612" s="48" t="s">
        <v>21</v>
      </c>
      <c r="F612" s="48" t="s">
        <v>18</v>
      </c>
      <c r="G612" s="48" t="s">
        <v>22</v>
      </c>
      <c r="H612" s="48" t="s">
        <v>19</v>
      </c>
      <c r="I612" s="48" t="s">
        <v>24</v>
      </c>
      <c r="J612" s="48" t="s">
        <v>18</v>
      </c>
      <c r="K612" s="48" t="s">
        <v>18</v>
      </c>
      <c r="L612" s="48" t="s">
        <v>24</v>
      </c>
      <c r="M612" s="48" t="s">
        <v>18</v>
      </c>
      <c r="N612" s="48" t="s">
        <v>18</v>
      </c>
      <c r="O612" s="48" t="s">
        <v>18</v>
      </c>
      <c r="P612" s="48" t="s">
        <v>24</v>
      </c>
      <c r="Q612" s="48" t="s">
        <v>22</v>
      </c>
      <c r="R612" s="170"/>
      <c r="S612" s="171"/>
      <c r="T612" s="1">
        <v>0</v>
      </c>
      <c r="U612" s="1">
        <v>0</v>
      </c>
      <c r="V612" s="1">
        <v>0</v>
      </c>
      <c r="W612" s="1">
        <v>0</v>
      </c>
      <c r="X612" s="1">
        <v>0</v>
      </c>
      <c r="Y612" s="1">
        <f>11902.6-2381.1</f>
        <v>9521.5</v>
      </c>
      <c r="Z612" s="1">
        <v>0</v>
      </c>
      <c r="AA612" s="53">
        <f t="shared" si="169"/>
        <v>9521.5</v>
      </c>
      <c r="AB612" s="52">
        <v>2023</v>
      </c>
      <c r="AC612" s="31"/>
      <c r="AD612" s="89"/>
    </row>
    <row r="613" spans="1:31" ht="31.5" x14ac:dyDescent="0.2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67" t="s">
        <v>245</v>
      </c>
      <c r="S613" s="37" t="s">
        <v>37</v>
      </c>
      <c r="T613" s="40">
        <v>0</v>
      </c>
      <c r="U613" s="40">
        <v>0</v>
      </c>
      <c r="V613" s="40">
        <v>0</v>
      </c>
      <c r="W613" s="40">
        <v>0</v>
      </c>
      <c r="X613" s="40">
        <v>1</v>
      </c>
      <c r="Y613" s="40">
        <v>0</v>
      </c>
      <c r="Z613" s="40">
        <v>0</v>
      </c>
      <c r="AA613" s="43">
        <v>1</v>
      </c>
      <c r="AB613" s="37">
        <v>2022</v>
      </c>
      <c r="AC613" s="31"/>
      <c r="AD613" s="91"/>
      <c r="AE613" s="91"/>
    </row>
    <row r="614" spans="1:31" ht="31.5" customHeight="1" x14ac:dyDescent="0.2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67" t="s">
        <v>355</v>
      </c>
      <c r="S614" s="37" t="s">
        <v>37</v>
      </c>
      <c r="T614" s="40">
        <v>0</v>
      </c>
      <c r="U614" s="40">
        <v>0</v>
      </c>
      <c r="V614" s="40">
        <v>0</v>
      </c>
      <c r="W614" s="40">
        <v>0</v>
      </c>
      <c r="X614" s="40">
        <v>0</v>
      </c>
      <c r="Y614" s="40">
        <v>1</v>
      </c>
      <c r="Z614" s="40">
        <v>0</v>
      </c>
      <c r="AA614" s="43">
        <f>Y614+Z614</f>
        <v>1</v>
      </c>
      <c r="AB614" s="37">
        <v>2023</v>
      </c>
      <c r="AC614" s="31"/>
      <c r="AD614" s="91"/>
      <c r="AE614" s="91"/>
    </row>
    <row r="615" spans="1:31" ht="31.5" hidden="1" x14ac:dyDescent="0.25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67" t="s">
        <v>342</v>
      </c>
      <c r="S615" s="37" t="s">
        <v>37</v>
      </c>
      <c r="T615" s="40">
        <v>0</v>
      </c>
      <c r="U615" s="40">
        <v>0</v>
      </c>
      <c r="V615" s="40">
        <v>0</v>
      </c>
      <c r="W615" s="40">
        <v>0</v>
      </c>
      <c r="X615" s="40">
        <v>0</v>
      </c>
      <c r="Y615" s="40">
        <v>0</v>
      </c>
      <c r="Z615" s="58">
        <v>0</v>
      </c>
      <c r="AA615" s="59">
        <f>Z615</f>
        <v>0</v>
      </c>
      <c r="AB615" s="57">
        <v>2024</v>
      </c>
      <c r="AC615" s="31"/>
    </row>
    <row r="616" spans="1:31" ht="47.25" x14ac:dyDescent="0.25">
      <c r="A616" s="48" t="s">
        <v>18</v>
      </c>
      <c r="B616" s="48" t="s">
        <v>24</v>
      </c>
      <c r="C616" s="48" t="s">
        <v>22</v>
      </c>
      <c r="D616" s="48" t="s">
        <v>18</v>
      </c>
      <c r="E616" s="48" t="s">
        <v>21</v>
      </c>
      <c r="F616" s="48" t="s">
        <v>18</v>
      </c>
      <c r="G616" s="48" t="s">
        <v>22</v>
      </c>
      <c r="H616" s="48" t="s">
        <v>19</v>
      </c>
      <c r="I616" s="48" t="s">
        <v>24</v>
      </c>
      <c r="J616" s="48" t="s">
        <v>18</v>
      </c>
      <c r="K616" s="48" t="s">
        <v>18</v>
      </c>
      <c r="L616" s="48" t="s">
        <v>24</v>
      </c>
      <c r="M616" s="48" t="s">
        <v>42</v>
      </c>
      <c r="N616" s="48" t="s">
        <v>42</v>
      </c>
      <c r="O616" s="48" t="s">
        <v>42</v>
      </c>
      <c r="P616" s="48" t="s">
        <v>42</v>
      </c>
      <c r="Q616" s="48" t="s">
        <v>42</v>
      </c>
      <c r="R616" s="150" t="s">
        <v>357</v>
      </c>
      <c r="S616" s="52" t="s">
        <v>0</v>
      </c>
      <c r="T616" s="53">
        <v>0</v>
      </c>
      <c r="U616" s="53">
        <f>4000-4000</f>
        <v>0</v>
      </c>
      <c r="V616" s="53">
        <v>0</v>
      </c>
      <c r="W616" s="53">
        <v>0</v>
      </c>
      <c r="X616" s="53">
        <v>0</v>
      </c>
      <c r="Y616" s="53">
        <f>500+1000-1000.2</f>
        <v>499.79999999999995</v>
      </c>
      <c r="Z616" s="53">
        <f>499.5+117.6</f>
        <v>617.1</v>
      </c>
      <c r="AA616" s="53">
        <f>SUM(T616:Z616)</f>
        <v>1116.9000000000001</v>
      </c>
      <c r="AB616" s="52">
        <v>2024</v>
      </c>
      <c r="AC616" s="31"/>
      <c r="AD616" s="89"/>
    </row>
    <row r="617" spans="1:31" ht="31.5" x14ac:dyDescent="0.2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67" t="s">
        <v>356</v>
      </c>
      <c r="S617" s="37" t="s">
        <v>37</v>
      </c>
      <c r="T617" s="40">
        <v>0</v>
      </c>
      <c r="U617" s="40">
        <v>0</v>
      </c>
      <c r="V617" s="40">
        <v>0</v>
      </c>
      <c r="W617" s="40">
        <v>0</v>
      </c>
      <c r="X617" s="40">
        <v>0</v>
      </c>
      <c r="Y617" s="40">
        <v>77</v>
      </c>
      <c r="Z617" s="40">
        <v>74</v>
      </c>
      <c r="AA617" s="43">
        <f>SUM(T617:Z617)</f>
        <v>151</v>
      </c>
      <c r="AB617" s="37">
        <v>2024</v>
      </c>
      <c r="AC617" s="31"/>
      <c r="AD617" s="91"/>
      <c r="AE617" s="91"/>
    </row>
    <row r="618" spans="1:31" ht="26.45" customHeight="1" x14ac:dyDescent="0.25">
      <c r="AB618" s="152" t="s">
        <v>56</v>
      </c>
    </row>
    <row r="619" spans="1:31" ht="51.75" customHeight="1" x14ac:dyDescent="0.25"/>
    <row r="620" spans="1:31" ht="408.75" customHeight="1" x14ac:dyDescent="0.25"/>
    <row r="621" spans="1:31" ht="68.25" customHeight="1" x14ac:dyDescent="0.25">
      <c r="A621" s="169"/>
      <c r="B621" s="169"/>
      <c r="C621" s="169"/>
      <c r="D621" s="169"/>
      <c r="E621" s="169"/>
      <c r="F621" s="169"/>
      <c r="G621" s="169"/>
      <c r="H621" s="169"/>
      <c r="I621" s="169"/>
      <c r="J621" s="169"/>
      <c r="K621" s="169"/>
      <c r="L621" s="169"/>
      <c r="M621" s="169"/>
      <c r="N621" s="169"/>
      <c r="O621" s="169"/>
      <c r="P621" s="169"/>
      <c r="Q621" s="169"/>
      <c r="R621" s="169"/>
      <c r="S621" s="169"/>
      <c r="T621" s="169"/>
      <c r="U621" s="169"/>
      <c r="V621" s="169"/>
      <c r="W621" s="169"/>
      <c r="X621" s="169"/>
      <c r="Y621" s="169"/>
      <c r="Z621" s="169"/>
      <c r="AA621" s="169"/>
      <c r="AB621" s="169"/>
    </row>
  </sheetData>
  <mergeCells count="96">
    <mergeCell ref="S82:S89"/>
    <mergeCell ref="S134:S136"/>
    <mergeCell ref="R371:R382"/>
    <mergeCell ref="R298:R301"/>
    <mergeCell ref="R303:R307"/>
    <mergeCell ref="R309:R313"/>
    <mergeCell ref="R315:R319"/>
    <mergeCell ref="R322:R326"/>
    <mergeCell ref="S92:S100"/>
    <mergeCell ref="S104:S109"/>
    <mergeCell ref="S238:S242"/>
    <mergeCell ref="R254:R258"/>
    <mergeCell ref="S246:S250"/>
    <mergeCell ref="S254:S258"/>
    <mergeCell ref="R246:R250"/>
    <mergeCell ref="R92:R100"/>
    <mergeCell ref="R453:R457"/>
    <mergeCell ref="R459:R464"/>
    <mergeCell ref="R419:R424"/>
    <mergeCell ref="R426:R431"/>
    <mergeCell ref="R433:R438"/>
    <mergeCell ref="R238:R242"/>
    <mergeCell ref="S178:S185"/>
    <mergeCell ref="S262:S266"/>
    <mergeCell ref="R340:R344"/>
    <mergeCell ref="S270:S273"/>
    <mergeCell ref="R346:R349"/>
    <mergeCell ref="R351:R354"/>
    <mergeCell ref="R356:R359"/>
    <mergeCell ref="R262:R266"/>
    <mergeCell ref="R270:R273"/>
    <mergeCell ref="R293:R296"/>
    <mergeCell ref="R281:R289"/>
    <mergeCell ref="R328:R337"/>
    <mergeCell ref="R361:R364"/>
    <mergeCell ref="R482:R484"/>
    <mergeCell ref="R412:R417"/>
    <mergeCell ref="R447:R451"/>
    <mergeCell ref="S281:S289"/>
    <mergeCell ref="S328:S337"/>
    <mergeCell ref="S371:S382"/>
    <mergeCell ref="R366:R369"/>
    <mergeCell ref="R405:R410"/>
    <mergeCell ref="S482:S484"/>
    <mergeCell ref="R385:R389"/>
    <mergeCell ref="R391:R396"/>
    <mergeCell ref="R466:R475"/>
    <mergeCell ref="R398:R403"/>
    <mergeCell ref="R440:R445"/>
    <mergeCell ref="S466:S475"/>
    <mergeCell ref="R82:R89"/>
    <mergeCell ref="R134:R136"/>
    <mergeCell ref="R178:R185"/>
    <mergeCell ref="R62:R65"/>
    <mergeCell ref="R231:R233"/>
    <mergeCell ref="R104:R109"/>
    <mergeCell ref="A1:AB1"/>
    <mergeCell ref="A5:AB5"/>
    <mergeCell ref="A6:AB6"/>
    <mergeCell ref="A7:AB7"/>
    <mergeCell ref="A4:AB4"/>
    <mergeCell ref="A9:AB9"/>
    <mergeCell ref="A10:AB10"/>
    <mergeCell ref="A11:AB11"/>
    <mergeCell ref="A13:Q13"/>
    <mergeCell ref="R13:R14"/>
    <mergeCell ref="S13:S14"/>
    <mergeCell ref="AA13:AB13"/>
    <mergeCell ref="A14:C14"/>
    <mergeCell ref="D14:E14"/>
    <mergeCell ref="F14:G14"/>
    <mergeCell ref="H14:Q14"/>
    <mergeCell ref="T13:Z13"/>
    <mergeCell ref="A621:AB621"/>
    <mergeCell ref="R610:R612"/>
    <mergeCell ref="S610:S612"/>
    <mergeCell ref="R594:R597"/>
    <mergeCell ref="S594:S597"/>
    <mergeCell ref="R603:R606"/>
    <mergeCell ref="S603:S606"/>
    <mergeCell ref="R40:R52"/>
    <mergeCell ref="S40:S52"/>
    <mergeCell ref="R571:R573"/>
    <mergeCell ref="R563:R564"/>
    <mergeCell ref="R566:R567"/>
    <mergeCell ref="R560:R561"/>
    <mergeCell ref="S499:S501"/>
    <mergeCell ref="R557:R558"/>
    <mergeCell ref="R554:R555"/>
    <mergeCell ref="R499:R501"/>
    <mergeCell ref="R512:R514"/>
    <mergeCell ref="S517:S519"/>
    <mergeCell ref="S512:S514"/>
    <mergeCell ref="R517:R519"/>
    <mergeCell ref="R507:R509"/>
    <mergeCell ref="S507:S509"/>
  </mergeCells>
  <pageMargins left="0.31496062992125984" right="0.27559055118110237" top="0.59055118110236227" bottom="0.51181102362204722" header="0" footer="0"/>
  <pageSetup paperSize="9" scale="64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2024-12-26T15:15:56Z</dcterms:modified>
</cp:coreProperties>
</file>